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7" i="1" l="1"/>
  <c r="I57" i="1"/>
  <c r="G57" i="1"/>
  <c r="E57" i="1"/>
  <c r="R50" i="1"/>
  <c r="R57" i="1" s="1"/>
  <c r="Q50" i="1"/>
  <c r="Q57" i="1" s="1"/>
  <c r="P50" i="1"/>
  <c r="P57" i="1" s="1"/>
  <c r="O50" i="1"/>
  <c r="O57" i="1" s="1"/>
  <c r="N50" i="1"/>
  <c r="N57" i="1" s="1"/>
  <c r="N58" i="1" s="1"/>
  <c r="M50" i="1"/>
  <c r="M57" i="1" s="1"/>
  <c r="L50" i="1"/>
  <c r="L57" i="1" s="1"/>
  <c r="L58" i="1" s="1"/>
  <c r="K50" i="1"/>
  <c r="K57" i="1" s="1"/>
  <c r="I50" i="1"/>
  <c r="H50" i="1"/>
  <c r="H57" i="1" s="1"/>
  <c r="G50" i="1"/>
  <c r="F50" i="1"/>
  <c r="F57" i="1" s="1"/>
  <c r="O45" i="1"/>
  <c r="O58" i="1" s="1"/>
  <c r="N45" i="1"/>
  <c r="M45" i="1"/>
  <c r="M58" i="1" s="1"/>
  <c r="L45" i="1"/>
  <c r="K45" i="1"/>
  <c r="K58" i="1" s="1"/>
  <c r="J45" i="1"/>
  <c r="I45" i="1"/>
  <c r="I58" i="1" s="1"/>
  <c r="H45" i="1"/>
  <c r="H58" i="1" s="1"/>
  <c r="G45" i="1"/>
  <c r="G58" i="1" s="1"/>
  <c r="F45" i="1"/>
  <c r="F58" i="1" s="1"/>
  <c r="E45" i="1"/>
  <c r="E58" i="1" s="1"/>
  <c r="R43" i="1"/>
  <c r="R45" i="1" s="1"/>
  <c r="Q43" i="1"/>
  <c r="Q45" i="1" s="1"/>
  <c r="Q58" i="1" s="1"/>
  <c r="P43" i="1"/>
  <c r="P45" i="1" s="1"/>
  <c r="J30" i="1"/>
  <c r="E30" i="1"/>
  <c r="P28" i="1"/>
  <c r="N28" i="1"/>
  <c r="M28" i="1"/>
  <c r="L28" i="1"/>
  <c r="K28" i="1"/>
  <c r="I28" i="1"/>
  <c r="H28" i="1"/>
  <c r="G28" i="1"/>
  <c r="F28" i="1"/>
  <c r="P27" i="1"/>
  <c r="N27" i="1"/>
  <c r="M27" i="1"/>
  <c r="L27" i="1"/>
  <c r="K27" i="1"/>
  <c r="I27" i="1"/>
  <c r="H27" i="1"/>
  <c r="G27" i="1"/>
  <c r="F27" i="1"/>
  <c r="Q25" i="1"/>
  <c r="P25" i="1"/>
  <c r="N25" i="1"/>
  <c r="M25" i="1"/>
  <c r="L25" i="1"/>
  <c r="K25" i="1"/>
  <c r="I25" i="1"/>
  <c r="H25" i="1"/>
  <c r="G25" i="1"/>
  <c r="F25" i="1"/>
  <c r="R23" i="1"/>
  <c r="R30" i="1" s="1"/>
  <c r="Q23" i="1"/>
  <c r="P23" i="1"/>
  <c r="P30" i="1" s="1"/>
  <c r="O23" i="1"/>
  <c r="O30" i="1" s="1"/>
  <c r="N23" i="1"/>
  <c r="N30" i="1" s="1"/>
  <c r="M23" i="1"/>
  <c r="L23" i="1"/>
  <c r="L30" i="1" s="1"/>
  <c r="K23" i="1"/>
  <c r="I23" i="1"/>
  <c r="I30" i="1" s="1"/>
  <c r="H23" i="1"/>
  <c r="G23" i="1"/>
  <c r="G30" i="1" s="1"/>
  <c r="F23" i="1"/>
  <c r="E18" i="1"/>
  <c r="E31" i="1" s="1"/>
  <c r="R16" i="1"/>
  <c r="Q16" i="1"/>
  <c r="P16" i="1"/>
  <c r="R13" i="1"/>
  <c r="R18" i="1" s="1"/>
  <c r="R31" i="1" s="1"/>
  <c r="Q13" i="1"/>
  <c r="P13" i="1"/>
  <c r="P18" i="1" s="1"/>
  <c r="P31" i="1" s="1"/>
  <c r="O13" i="1"/>
  <c r="O18" i="1" s="1"/>
  <c r="O31" i="1" s="1"/>
  <c r="N13" i="1"/>
  <c r="N18" i="1" s="1"/>
  <c r="N31" i="1" s="1"/>
  <c r="M13" i="1"/>
  <c r="M18" i="1" s="1"/>
  <c r="L13" i="1"/>
  <c r="L18" i="1" s="1"/>
  <c r="L31" i="1" s="1"/>
  <c r="K13" i="1"/>
  <c r="K18" i="1" s="1"/>
  <c r="I13" i="1"/>
  <c r="I18" i="1" s="1"/>
  <c r="I31" i="1" s="1"/>
  <c r="H13" i="1"/>
  <c r="H18" i="1" s="1"/>
  <c r="G13" i="1"/>
  <c r="G18" i="1" s="1"/>
  <c r="G31" i="1" s="1"/>
  <c r="F13" i="1"/>
  <c r="F18" i="1" s="1"/>
  <c r="P58" i="1" l="1"/>
  <c r="R58" i="1"/>
  <c r="F30" i="1"/>
  <c r="H30" i="1"/>
  <c r="Q18" i="1"/>
  <c r="K30" i="1"/>
  <c r="K31" i="1" s="1"/>
  <c r="M30" i="1"/>
  <c r="M31" i="1" s="1"/>
  <c r="Q30" i="1"/>
  <c r="F31" i="1"/>
  <c r="H31" i="1"/>
  <c r="Q31" i="1" l="1"/>
</calcChain>
</file>

<file path=xl/sharedStrings.xml><?xml version="1.0" encoding="utf-8"?>
<sst xmlns="http://schemas.openxmlformats.org/spreadsheetml/2006/main" count="157" uniqueCount="63">
  <si>
    <t>МЕНЮ</t>
  </si>
  <si>
    <t>для школьных столовых</t>
  </si>
  <si>
    <t>( 12 лет и старше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</si>
  <si>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</si>
  <si>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</si>
  <si>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</si>
  <si>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</si>
  <si>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</si>
  <si>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</si>
  <si>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</si>
  <si>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</si>
  <si>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</si>
  <si>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</si>
  <si>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</si>
  <si>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</si>
  <si>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</si>
  <si>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</si>
  <si>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</si>
  <si>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</si>
  <si>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</si>
  <si>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</si>
  <si>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</si>
  <si>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</si>
  <si>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</si>
  <si>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</si>
  <si>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</si>
  <si>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250/10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</si>
  <si>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</si>
  <si>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</si>
  <si>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</si>
  <si>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</si>
  <si>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</si>
  <si>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</si>
  <si>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</si>
  <si>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</si>
  <si>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</si>
  <si>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</si>
  <si>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 xml:space="preserve"> Суп картофельный с мясными фрикадельками.</t>
  </si>
  <si>
    <t>250/35</t>
  </si>
  <si>
    <t xml:space="preserve">Компот из сухофруктов </t>
  </si>
  <si>
    <t xml:space="preserve">Хлеб пшеничный </t>
  </si>
  <si>
    <t>ИТОГО:</t>
  </si>
  <si>
    <t>( 7-11 лет )</t>
  </si>
  <si>
    <t>200/10</t>
  </si>
  <si>
    <t>200/28</t>
  </si>
  <si>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</si>
  <si>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</si>
  <si>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</si>
  <si>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Директор    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</si>
  <si>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                                 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</si>
  <si>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/Сидельников С.И./</t>
    </r>
  </si>
  <si>
    <t xml:space="preserve">                      "___"____________  2024г</t>
  </si>
  <si>
    <t>"09" января 2024г</t>
  </si>
  <si>
    <t>Овощи натуральные свежие (помидоры)</t>
  </si>
  <si>
    <t xml:space="preserve">Оладьи из говяжьей печени </t>
  </si>
  <si>
    <t>100/5</t>
  </si>
  <si>
    <t>Макаронные изделия отварные с маслом</t>
  </si>
  <si>
    <t>Хлеб ржаной</t>
  </si>
  <si>
    <t>7.</t>
  </si>
  <si>
    <t>8.</t>
  </si>
  <si>
    <t>Ряженка</t>
  </si>
  <si>
    <t>90/5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</si>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</sst>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8" fillId="0" borderId="0" xfId="0" applyFont="1" applyAlignment="1">
      <alignment vertical="distributed"/>
    </xf>
    <xf numFmtId="0" fontId="7" fillId="0" borderId="0" xfId="0" applyFont="1" applyAlignment="1">
      <alignment vertical="distributed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 vertical="distributed"/>
    </xf>
    <xf numFmtId="0" fontId="1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 vertical="distributed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left" vertical="distributed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2" fontId="1" fillId="0" borderId="6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distributed"/>
    </xf>
    <xf numFmtId="0" fontId="1" fillId="2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18" zoomScale="80" zoomScaleNormal="80" workbookViewId="0">
      <selection activeCell="F33" sqref="F33"/>
    </sheetView>
  </sheetViews>
  <sheetFormatPr defaultRowHeight="15" x14ac:dyDescent="0.25"/>
  <cols>
    <col min="3" max="3" width="9.5703125" customWidth="1"/>
  </cols>
  <sheetData>
    <row r="1" spans="1:18" x14ac:dyDescent="0.25">
      <c r="A1" s="56" t="s">
        <v>45</v>
      </c>
      <c r="B1" s="56"/>
      <c r="C1" s="56"/>
      <c r="D1" s="57" t="s">
        <v>46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15.75" customHeight="1" x14ac:dyDescent="0.25">
      <c r="A2" s="58" t="s">
        <v>47</v>
      </c>
      <c r="B2" s="58"/>
      <c r="C2" s="58"/>
      <c r="D2" s="49"/>
      <c r="E2" s="49"/>
      <c r="F2" s="49"/>
      <c r="G2" s="49"/>
      <c r="H2" s="49"/>
      <c r="I2" s="49"/>
      <c r="J2" s="32"/>
      <c r="K2" s="50" t="s">
        <v>48</v>
      </c>
      <c r="L2" s="50"/>
      <c r="M2" s="50"/>
      <c r="N2" s="50"/>
      <c r="O2" s="50"/>
      <c r="P2" s="50"/>
      <c r="Q2" s="50"/>
      <c r="R2" s="50"/>
    </row>
    <row r="3" spans="1:18" x14ac:dyDescent="0.25">
      <c r="A3" s="33"/>
      <c r="B3" s="33"/>
      <c r="C3" s="33"/>
      <c r="D3" s="33"/>
      <c r="E3" s="33"/>
      <c r="F3" s="33"/>
      <c r="G3" s="33"/>
      <c r="H3" s="33"/>
      <c r="I3" s="33"/>
      <c r="J3" s="32"/>
      <c r="K3" s="34"/>
      <c r="L3" s="34"/>
      <c r="M3" s="34"/>
      <c r="N3" s="34"/>
      <c r="O3" s="34"/>
      <c r="P3" s="34"/>
      <c r="Q3" s="34"/>
      <c r="R3" s="34"/>
    </row>
    <row r="4" spans="1:18" x14ac:dyDescent="0.25">
      <c r="A4" s="51" t="s">
        <v>49</v>
      </c>
      <c r="B4" s="51"/>
      <c r="C4" s="51"/>
      <c r="D4" s="52" t="s">
        <v>50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x14ac:dyDescent="0.25">
      <c r="A5" s="53" t="s">
        <v>51</v>
      </c>
      <c r="B5" s="53"/>
      <c r="C5" s="53"/>
      <c r="D5" s="54"/>
      <c r="E5" s="54"/>
      <c r="F5" s="54"/>
      <c r="G5" s="55" t="s">
        <v>52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5" customHeight="1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5.75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5.75" x14ac:dyDescent="0.25">
      <c r="A8" s="45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ht="15.75" x14ac:dyDescent="0.25">
      <c r="A9" s="46" t="s">
        <v>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ht="15.75" x14ac:dyDescent="0.25">
      <c r="A10" s="37" t="s">
        <v>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5" customHeight="1" x14ac:dyDescent="0.25">
      <c r="A11" s="38" t="s">
        <v>5</v>
      </c>
      <c r="B11" s="39" t="s">
        <v>6</v>
      </c>
      <c r="C11" s="38" t="s">
        <v>7</v>
      </c>
      <c r="D11" s="42" t="s">
        <v>8</v>
      </c>
      <c r="E11" s="39" t="s">
        <v>9</v>
      </c>
      <c r="F11" s="40" t="s">
        <v>10</v>
      </c>
      <c r="G11" s="40" t="s">
        <v>11</v>
      </c>
      <c r="H11" s="40" t="s">
        <v>12</v>
      </c>
      <c r="I11" s="39" t="s">
        <v>13</v>
      </c>
      <c r="J11" s="7"/>
      <c r="K11" s="5" t="s">
        <v>14</v>
      </c>
      <c r="L11" s="5"/>
      <c r="M11" s="5"/>
      <c r="N11" s="5"/>
      <c r="O11" s="39" t="s">
        <v>15</v>
      </c>
      <c r="P11" s="39"/>
      <c r="Q11" s="39"/>
      <c r="R11" s="39"/>
    </row>
    <row r="12" spans="1:18" x14ac:dyDescent="0.25">
      <c r="A12" s="38"/>
      <c r="B12" s="39"/>
      <c r="C12" s="38"/>
      <c r="D12" s="42"/>
      <c r="E12" s="39"/>
      <c r="F12" s="41"/>
      <c r="G12" s="41"/>
      <c r="H12" s="41"/>
      <c r="I12" s="39"/>
      <c r="J12" s="7"/>
      <c r="K12" s="29" t="s">
        <v>16</v>
      </c>
      <c r="L12" s="30" t="s">
        <v>17</v>
      </c>
      <c r="M12" s="30" t="s">
        <v>18</v>
      </c>
      <c r="N12" s="30" t="s">
        <v>19</v>
      </c>
      <c r="O12" s="12" t="s">
        <v>20</v>
      </c>
      <c r="P12" s="30" t="s">
        <v>21</v>
      </c>
      <c r="Q12" s="30" t="s">
        <v>22</v>
      </c>
      <c r="R12" s="30" t="s">
        <v>23</v>
      </c>
    </row>
    <row r="13" spans="1:18" ht="102" x14ac:dyDescent="0.25">
      <c r="A13" s="1">
        <v>175</v>
      </c>
      <c r="B13" s="24" t="s">
        <v>24</v>
      </c>
      <c r="C13" s="20" t="s">
        <v>25</v>
      </c>
      <c r="D13" s="22" t="s">
        <v>26</v>
      </c>
      <c r="E13" s="23">
        <v>27</v>
      </c>
      <c r="F13" s="23">
        <f>5.8*250/210</f>
        <v>6.9047619047619051</v>
      </c>
      <c r="G13" s="23">
        <f>10.67*250/210</f>
        <v>12.702380952380953</v>
      </c>
      <c r="H13" s="23">
        <f>41.48*250/210</f>
        <v>49.38095238095238</v>
      </c>
      <c r="I13" s="23">
        <f>286.36*250/210</f>
        <v>340.90476190476193</v>
      </c>
      <c r="J13" s="22">
        <v>195</v>
      </c>
      <c r="K13" s="23">
        <f>127.7*250/210</f>
        <v>152.02380952380952</v>
      </c>
      <c r="L13" s="23">
        <f>35.53*250/210</f>
        <v>42.297619047619051</v>
      </c>
      <c r="M13" s="23">
        <f>149.6*250/210</f>
        <v>178.0952380952381</v>
      </c>
      <c r="N13" s="23">
        <f>0.8*250/210</f>
        <v>0.95238095238095233</v>
      </c>
      <c r="O13" s="23">
        <f>52.31*250/210</f>
        <v>62.273809523809526</v>
      </c>
      <c r="P13" s="23">
        <f>0.1*250/210</f>
        <v>0.11904761904761904</v>
      </c>
      <c r="Q13" s="23">
        <f>0.55*250/210</f>
        <v>0.65476190476190477</v>
      </c>
      <c r="R13" s="15">
        <f>0.92*250/210</f>
        <v>1.0952380952380953</v>
      </c>
    </row>
    <row r="14" spans="1:18" x14ac:dyDescent="0.25">
      <c r="A14" s="2"/>
      <c r="B14" s="2" t="s">
        <v>27</v>
      </c>
      <c r="C14" s="9" t="s">
        <v>28</v>
      </c>
      <c r="D14" s="2">
        <v>50</v>
      </c>
      <c r="E14" s="3">
        <v>5.63</v>
      </c>
      <c r="F14" s="3">
        <v>4</v>
      </c>
      <c r="G14" s="3">
        <v>0.7</v>
      </c>
      <c r="H14" s="3">
        <v>21</v>
      </c>
      <c r="I14" s="3">
        <v>106</v>
      </c>
      <c r="J14" s="9"/>
      <c r="K14" s="3">
        <v>11.5</v>
      </c>
      <c r="L14" s="3">
        <v>16.5</v>
      </c>
      <c r="M14" s="3">
        <v>43.5</v>
      </c>
      <c r="N14" s="3">
        <v>1</v>
      </c>
      <c r="O14" s="2">
        <v>0</v>
      </c>
      <c r="P14" s="3">
        <v>0.1</v>
      </c>
      <c r="Q14" s="3">
        <v>0.8</v>
      </c>
      <c r="R14" s="8">
        <v>0</v>
      </c>
    </row>
    <row r="15" spans="1:18" ht="15" customHeight="1" x14ac:dyDescent="0.25">
      <c r="A15" s="10">
        <v>15</v>
      </c>
      <c r="B15" s="2" t="s">
        <v>29</v>
      </c>
      <c r="C15" s="9" t="s">
        <v>30</v>
      </c>
      <c r="D15" s="2">
        <v>20</v>
      </c>
      <c r="E15" s="3">
        <v>19.2</v>
      </c>
      <c r="F15" s="15">
        <v>4.6399999999999997</v>
      </c>
      <c r="G15" s="15">
        <v>5.9</v>
      </c>
      <c r="H15" s="14">
        <v>0</v>
      </c>
      <c r="I15" s="15">
        <v>71.66</v>
      </c>
      <c r="J15" s="26"/>
      <c r="K15" s="15">
        <v>176</v>
      </c>
      <c r="L15" s="15">
        <v>7</v>
      </c>
      <c r="M15" s="15">
        <v>100</v>
      </c>
      <c r="N15" s="15">
        <v>0.2</v>
      </c>
      <c r="O15" s="15">
        <v>52</v>
      </c>
      <c r="P15" s="14">
        <v>0</v>
      </c>
      <c r="Q15" s="14">
        <v>0</v>
      </c>
      <c r="R15" s="14">
        <v>0</v>
      </c>
    </row>
    <row r="16" spans="1:18" x14ac:dyDescent="0.25">
      <c r="A16" s="2"/>
      <c r="B16" s="2" t="s">
        <v>31</v>
      </c>
      <c r="C16" s="9" t="s">
        <v>32</v>
      </c>
      <c r="D16" s="2">
        <v>20</v>
      </c>
      <c r="E16" s="3">
        <v>4.2</v>
      </c>
      <c r="F16" s="3">
        <v>0.8</v>
      </c>
      <c r="G16" s="2">
        <v>1.04</v>
      </c>
      <c r="H16" s="2">
        <v>8.64</v>
      </c>
      <c r="I16" s="3">
        <v>46.92</v>
      </c>
      <c r="J16" s="2"/>
      <c r="K16" s="3">
        <v>13.2</v>
      </c>
      <c r="L16" s="3">
        <v>2.4</v>
      </c>
      <c r="M16" s="3">
        <v>10.8</v>
      </c>
      <c r="N16" s="3">
        <v>0.28000000000000003</v>
      </c>
      <c r="O16" s="3">
        <v>1.32</v>
      </c>
      <c r="P16" s="8">
        <f>0*30/50</f>
        <v>0</v>
      </c>
      <c r="Q16" s="8">
        <f t="shared" ref="Q16:R16" si="0">0*30/50</f>
        <v>0</v>
      </c>
      <c r="R16" s="8">
        <f t="shared" si="0"/>
        <v>0</v>
      </c>
    </row>
    <row r="17" spans="1:18" x14ac:dyDescent="0.25">
      <c r="A17" s="2">
        <v>382</v>
      </c>
      <c r="B17" s="2" t="s">
        <v>33</v>
      </c>
      <c r="C17" s="11" t="s">
        <v>34</v>
      </c>
      <c r="D17" s="16">
        <v>200</v>
      </c>
      <c r="E17" s="15">
        <v>13</v>
      </c>
      <c r="F17" s="12">
        <v>2.94</v>
      </c>
      <c r="G17" s="12">
        <v>3.42</v>
      </c>
      <c r="H17" s="12">
        <v>17.579999999999998</v>
      </c>
      <c r="I17" s="15">
        <v>118.6</v>
      </c>
      <c r="J17" s="12"/>
      <c r="K17" s="15">
        <v>152.19999999999999</v>
      </c>
      <c r="L17" s="15">
        <v>21.34</v>
      </c>
      <c r="M17" s="15">
        <v>124.56</v>
      </c>
      <c r="N17" s="15">
        <v>0.48</v>
      </c>
      <c r="O17" s="15">
        <v>24.4</v>
      </c>
      <c r="P17" s="15">
        <v>0.06</v>
      </c>
      <c r="Q17" s="13">
        <v>0.17</v>
      </c>
      <c r="R17" s="15">
        <v>1.59</v>
      </c>
    </row>
    <row r="18" spans="1:18" x14ac:dyDescent="0.25">
      <c r="A18" s="35" t="s">
        <v>35</v>
      </c>
      <c r="B18" s="35"/>
      <c r="C18" s="35"/>
      <c r="D18" s="18">
        <v>550</v>
      </c>
      <c r="E18" s="19">
        <f>SUM(E13:E17)</f>
        <v>69.03</v>
      </c>
      <c r="F18" s="19">
        <f>SUM(F13:F17)</f>
        <v>19.284761904761908</v>
      </c>
      <c r="G18" s="19">
        <f>SUM(G13:G17)</f>
        <v>23.762380952380951</v>
      </c>
      <c r="H18" s="19">
        <f>SUM(H13:H17)</f>
        <v>96.600952380952378</v>
      </c>
      <c r="I18" s="19">
        <f>SUM(I13:I17)</f>
        <v>684.08476190476188</v>
      </c>
      <c r="J18" s="60"/>
      <c r="K18" s="19">
        <f t="shared" ref="K18:R18" si="1">SUM(K13:K17)</f>
        <v>504.9238095238095</v>
      </c>
      <c r="L18" s="19">
        <f t="shared" si="1"/>
        <v>89.53761904761906</v>
      </c>
      <c r="M18" s="19">
        <f t="shared" si="1"/>
        <v>456.95523809523809</v>
      </c>
      <c r="N18" s="19">
        <f t="shared" si="1"/>
        <v>2.9123809523809521</v>
      </c>
      <c r="O18" s="19">
        <f t="shared" si="1"/>
        <v>139.99380952380952</v>
      </c>
      <c r="P18" s="19">
        <f t="shared" si="1"/>
        <v>0.27904761904761904</v>
      </c>
      <c r="Q18" s="19">
        <f t="shared" si="1"/>
        <v>1.6247619047619049</v>
      </c>
      <c r="R18" s="19">
        <f t="shared" si="1"/>
        <v>2.6852380952380956</v>
      </c>
    </row>
    <row r="19" spans="1:18" ht="15" customHeight="1" x14ac:dyDescent="0.25">
      <c r="A19" s="37" t="s">
        <v>36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5" customHeight="1" x14ac:dyDescent="0.25">
      <c r="A20" s="38" t="s">
        <v>5</v>
      </c>
      <c r="B20" s="39" t="s">
        <v>6</v>
      </c>
      <c r="C20" s="38" t="s">
        <v>7</v>
      </c>
      <c r="D20" s="39" t="s">
        <v>8</v>
      </c>
      <c r="E20" s="39" t="s">
        <v>9</v>
      </c>
      <c r="F20" s="40" t="s">
        <v>10</v>
      </c>
      <c r="G20" s="40" t="s">
        <v>11</v>
      </c>
      <c r="H20" s="40" t="s">
        <v>12</v>
      </c>
      <c r="I20" s="39" t="s">
        <v>13</v>
      </c>
      <c r="J20" s="7"/>
      <c r="K20" s="5" t="s">
        <v>14</v>
      </c>
      <c r="L20" s="5"/>
      <c r="M20" s="5"/>
      <c r="N20" s="5"/>
      <c r="O20" s="39" t="s">
        <v>15</v>
      </c>
      <c r="P20" s="39"/>
      <c r="Q20" s="39"/>
      <c r="R20" s="39"/>
    </row>
    <row r="21" spans="1:18" x14ac:dyDescent="0.25">
      <c r="A21" s="38"/>
      <c r="B21" s="39"/>
      <c r="C21" s="38"/>
      <c r="D21" s="39"/>
      <c r="E21" s="39"/>
      <c r="F21" s="41"/>
      <c r="G21" s="41"/>
      <c r="H21" s="41"/>
      <c r="I21" s="39"/>
      <c r="J21" s="7"/>
      <c r="K21" s="29" t="s">
        <v>16</v>
      </c>
      <c r="L21" s="30" t="s">
        <v>17</v>
      </c>
      <c r="M21" s="30" t="s">
        <v>18</v>
      </c>
      <c r="N21" s="30" t="s">
        <v>19</v>
      </c>
      <c r="O21" s="30" t="s">
        <v>20</v>
      </c>
      <c r="P21" s="30" t="s">
        <v>21</v>
      </c>
      <c r="Q21" s="30" t="s">
        <v>22</v>
      </c>
      <c r="R21" s="30" t="s">
        <v>23</v>
      </c>
    </row>
    <row r="22" spans="1:18" ht="64.5" x14ac:dyDescent="0.25">
      <c r="A22" s="61">
        <v>71</v>
      </c>
      <c r="B22" s="62" t="s">
        <v>24</v>
      </c>
      <c r="C22" s="63" t="s">
        <v>53</v>
      </c>
      <c r="D22" s="2">
        <v>100</v>
      </c>
      <c r="E22" s="3">
        <v>33.04</v>
      </c>
      <c r="F22" s="64">
        <v>1.2</v>
      </c>
      <c r="G22" s="64">
        <v>0.2</v>
      </c>
      <c r="H22" s="64">
        <v>4.5999999999999996</v>
      </c>
      <c r="I22" s="3">
        <v>26</v>
      </c>
      <c r="J22" s="21"/>
      <c r="K22" s="3">
        <v>14</v>
      </c>
      <c r="L22" s="3">
        <v>20</v>
      </c>
      <c r="M22" s="3">
        <v>0</v>
      </c>
      <c r="N22" s="3">
        <v>0.8</v>
      </c>
      <c r="O22" s="3">
        <v>0</v>
      </c>
      <c r="P22" s="3">
        <v>0</v>
      </c>
      <c r="Q22" s="3">
        <v>0</v>
      </c>
      <c r="R22" s="3">
        <v>17.5</v>
      </c>
    </row>
    <row r="23" spans="1:18" ht="77.25" x14ac:dyDescent="0.25">
      <c r="A23" s="2">
        <v>104</v>
      </c>
      <c r="B23" s="2" t="s">
        <v>27</v>
      </c>
      <c r="C23" s="4" t="s">
        <v>37</v>
      </c>
      <c r="D23" s="12" t="s">
        <v>38</v>
      </c>
      <c r="E23" s="3">
        <v>36.26</v>
      </c>
      <c r="F23" s="3">
        <f>9*250/200</f>
        <v>11.25</v>
      </c>
      <c r="G23" s="3">
        <f>6.3*250/200</f>
        <v>7.875</v>
      </c>
      <c r="H23" s="3">
        <f>22.1*250/200</f>
        <v>27.625</v>
      </c>
      <c r="I23" s="3">
        <f>180.9*250/200</f>
        <v>226.125</v>
      </c>
      <c r="J23" s="3"/>
      <c r="K23" s="3">
        <f>66.15*250/200</f>
        <v>82.6875</v>
      </c>
      <c r="L23" s="3">
        <f>26.5*250/200</f>
        <v>33.125</v>
      </c>
      <c r="M23" s="3">
        <f>64.1*250/200</f>
        <v>80.124999999999986</v>
      </c>
      <c r="N23" s="3">
        <f>1.38*250/200</f>
        <v>1.7250000000000001</v>
      </c>
      <c r="O23" s="3">
        <f>0.8*250/200</f>
        <v>1</v>
      </c>
      <c r="P23" s="3">
        <f>9.48*250/200</f>
        <v>11.85</v>
      </c>
      <c r="Q23" s="3">
        <f>1.3*250/200</f>
        <v>1.625</v>
      </c>
      <c r="R23" s="3">
        <f>20.03*250/200</f>
        <v>25.037500000000001</v>
      </c>
    </row>
    <row r="24" spans="1:18" ht="39" x14ac:dyDescent="0.25">
      <c r="A24" s="2">
        <v>282</v>
      </c>
      <c r="B24" s="2" t="s">
        <v>29</v>
      </c>
      <c r="C24" s="63" t="s">
        <v>54</v>
      </c>
      <c r="D24" s="12" t="s">
        <v>55</v>
      </c>
      <c r="E24" s="3">
        <v>67.25</v>
      </c>
      <c r="F24" s="3">
        <v>16.8</v>
      </c>
      <c r="G24" s="3">
        <v>23.1</v>
      </c>
      <c r="H24" s="3">
        <v>6.1</v>
      </c>
      <c r="I24" s="3">
        <v>299.7</v>
      </c>
      <c r="J24" s="21"/>
      <c r="K24" s="3">
        <v>19.5</v>
      </c>
      <c r="L24" s="3">
        <v>22</v>
      </c>
      <c r="M24" s="3">
        <v>346.9</v>
      </c>
      <c r="N24" s="3">
        <v>7.4</v>
      </c>
      <c r="O24" s="3">
        <v>9.6999999999999993</v>
      </c>
      <c r="P24" s="3">
        <v>2.7</v>
      </c>
      <c r="Q24" s="3">
        <v>9.5</v>
      </c>
      <c r="R24" s="3">
        <v>34.6</v>
      </c>
    </row>
    <row r="25" spans="1:18" ht="64.5" x14ac:dyDescent="0.25">
      <c r="A25" s="2">
        <v>309</v>
      </c>
      <c r="B25" s="12" t="s">
        <v>31</v>
      </c>
      <c r="C25" s="65" t="s">
        <v>56</v>
      </c>
      <c r="D25" s="12">
        <v>180</v>
      </c>
      <c r="E25" s="3">
        <v>11.92</v>
      </c>
      <c r="F25" s="3">
        <f>5.52*180/150</f>
        <v>6.6239999999999997</v>
      </c>
      <c r="G25" s="3">
        <f>4.5*180/150</f>
        <v>5.4</v>
      </c>
      <c r="H25" s="3">
        <f>26.45*180/150</f>
        <v>31.74</v>
      </c>
      <c r="I25" s="3">
        <f>168.45*180/150</f>
        <v>202.14</v>
      </c>
      <c r="J25" s="66"/>
      <c r="K25" s="3">
        <f>4.86*180/150</f>
        <v>5.8320000000000007</v>
      </c>
      <c r="L25" s="3">
        <f>21.12*180/150</f>
        <v>25.344000000000001</v>
      </c>
      <c r="M25" s="3">
        <f>37.17*180/150</f>
        <v>44.603999999999999</v>
      </c>
      <c r="N25" s="3">
        <f>1.1025*180/150</f>
        <v>1.3230000000000002</v>
      </c>
      <c r="O25" s="3">
        <v>0</v>
      </c>
      <c r="P25" s="3">
        <f>0.0525*180/150</f>
        <v>6.3E-2</v>
      </c>
      <c r="Q25" s="3">
        <f>0.78*180/150</f>
        <v>0.93600000000000005</v>
      </c>
      <c r="R25" s="3">
        <v>0</v>
      </c>
    </row>
    <row r="26" spans="1:18" ht="39" x14ac:dyDescent="0.25">
      <c r="A26" s="2">
        <v>349</v>
      </c>
      <c r="B26" s="2" t="s">
        <v>33</v>
      </c>
      <c r="C26" s="4" t="s">
        <v>39</v>
      </c>
      <c r="D26" s="12">
        <v>200</v>
      </c>
      <c r="E26" s="2">
        <v>7.02</v>
      </c>
      <c r="F26" s="3">
        <v>0.6</v>
      </c>
      <c r="G26" s="3">
        <v>0.09</v>
      </c>
      <c r="H26" s="3">
        <v>32.01</v>
      </c>
      <c r="I26" s="3">
        <v>132.80000000000001</v>
      </c>
      <c r="J26" s="21"/>
      <c r="K26" s="3">
        <v>32.479999999999997</v>
      </c>
      <c r="L26" s="3">
        <v>17.46</v>
      </c>
      <c r="M26" s="3">
        <v>23.44</v>
      </c>
      <c r="N26" s="3">
        <v>0.7</v>
      </c>
      <c r="O26" s="3">
        <v>0</v>
      </c>
      <c r="P26" s="3">
        <v>0.02</v>
      </c>
      <c r="Q26" s="3">
        <v>0.26</v>
      </c>
      <c r="R26" s="3">
        <v>0.73</v>
      </c>
    </row>
    <row r="27" spans="1:18" ht="26.25" x14ac:dyDescent="0.25">
      <c r="A27" s="2"/>
      <c r="B27" s="2">
        <v>6</v>
      </c>
      <c r="C27" s="4" t="s">
        <v>57</v>
      </c>
      <c r="D27" s="12">
        <v>40</v>
      </c>
      <c r="E27" s="3">
        <v>2.93</v>
      </c>
      <c r="F27" s="3">
        <f>1.68*40/30</f>
        <v>2.2400000000000002</v>
      </c>
      <c r="G27" s="3">
        <f>0.33*40/30</f>
        <v>0.44000000000000006</v>
      </c>
      <c r="H27" s="3">
        <f>14.82*40/30</f>
        <v>19.759999999999998</v>
      </c>
      <c r="I27" s="3">
        <f>68.97*40/30</f>
        <v>91.960000000000008</v>
      </c>
      <c r="J27" s="21"/>
      <c r="K27" s="3">
        <f>6.9*40/30</f>
        <v>9.1999999999999993</v>
      </c>
      <c r="L27" s="3">
        <f>7.5*40/30</f>
        <v>10</v>
      </c>
      <c r="M27" s="3">
        <f>31.8*40/30</f>
        <v>42.4</v>
      </c>
      <c r="N27" s="3">
        <f>0.93*40/30</f>
        <v>1.24</v>
      </c>
      <c r="O27" s="3">
        <v>0</v>
      </c>
      <c r="P27" s="3">
        <f>0.03*40/30</f>
        <v>0.04</v>
      </c>
      <c r="Q27" s="3">
        <v>0</v>
      </c>
      <c r="R27" s="3">
        <v>0</v>
      </c>
    </row>
    <row r="28" spans="1:18" x14ac:dyDescent="0.25">
      <c r="A28" s="2"/>
      <c r="B28" s="2" t="s">
        <v>58</v>
      </c>
      <c r="C28" s="11" t="s">
        <v>40</v>
      </c>
      <c r="D28" s="12">
        <v>70</v>
      </c>
      <c r="E28" s="15">
        <v>5.13</v>
      </c>
      <c r="F28" s="15">
        <f>2.37*70/30</f>
        <v>5.53</v>
      </c>
      <c r="G28" s="15">
        <f>0.3*70/30</f>
        <v>0.7</v>
      </c>
      <c r="H28" s="15">
        <f>14.49*70/30</f>
        <v>33.81</v>
      </c>
      <c r="I28" s="15">
        <f>70.14*70/30</f>
        <v>163.66</v>
      </c>
      <c r="J28" s="26"/>
      <c r="K28" s="15">
        <f>6.9*70/30</f>
        <v>16.100000000000001</v>
      </c>
      <c r="L28" s="15">
        <f>9.9*70/30</f>
        <v>23.1</v>
      </c>
      <c r="M28" s="15">
        <f>26.1*70/30</f>
        <v>60.9</v>
      </c>
      <c r="N28" s="15">
        <f>0.33*70/30</f>
        <v>0.77</v>
      </c>
      <c r="O28" s="15">
        <v>0</v>
      </c>
      <c r="P28" s="15">
        <f>0.03*70/30</f>
        <v>7.0000000000000007E-2</v>
      </c>
      <c r="Q28" s="15">
        <v>0</v>
      </c>
      <c r="R28" s="15">
        <v>0</v>
      </c>
    </row>
    <row r="29" spans="1:18" x14ac:dyDescent="0.25">
      <c r="A29" s="2">
        <v>386</v>
      </c>
      <c r="B29" s="2" t="s">
        <v>59</v>
      </c>
      <c r="C29" s="9" t="s">
        <v>60</v>
      </c>
      <c r="D29" s="2">
        <v>100</v>
      </c>
      <c r="E29" s="3">
        <v>14.42</v>
      </c>
      <c r="F29" s="3">
        <v>3</v>
      </c>
      <c r="G29" s="3">
        <v>1</v>
      </c>
      <c r="H29" s="3">
        <v>4.2</v>
      </c>
      <c r="I29" s="3">
        <v>40</v>
      </c>
      <c r="J29" s="3">
        <v>40</v>
      </c>
      <c r="K29" s="3">
        <v>124</v>
      </c>
      <c r="L29" s="3">
        <v>14</v>
      </c>
      <c r="M29" s="3">
        <v>92</v>
      </c>
      <c r="N29" s="3">
        <v>0.1</v>
      </c>
      <c r="O29" s="3">
        <v>0</v>
      </c>
      <c r="P29" s="3">
        <v>0.03</v>
      </c>
      <c r="Q29" s="3">
        <v>0.1</v>
      </c>
      <c r="R29" s="3">
        <v>0.3</v>
      </c>
    </row>
    <row r="30" spans="1:18" x14ac:dyDescent="0.25">
      <c r="A30" s="35" t="s">
        <v>35</v>
      </c>
      <c r="B30" s="35"/>
      <c r="C30" s="35"/>
      <c r="D30" s="17">
        <v>1080</v>
      </c>
      <c r="E30" s="25">
        <f t="shared" ref="E30:R30" si="2">SUM(E22:E29)</f>
        <v>177.97</v>
      </c>
      <c r="F30" s="25">
        <f t="shared" si="2"/>
        <v>47.244000000000007</v>
      </c>
      <c r="G30" s="25">
        <f t="shared" si="2"/>
        <v>38.805000000000007</v>
      </c>
      <c r="H30" s="25">
        <f t="shared" si="2"/>
        <v>159.84499999999997</v>
      </c>
      <c r="I30" s="25">
        <f t="shared" si="2"/>
        <v>1182.3850000000002</v>
      </c>
      <c r="J30" s="25">
        <f t="shared" si="2"/>
        <v>40</v>
      </c>
      <c r="K30" s="25">
        <f t="shared" si="2"/>
        <v>303.79949999999997</v>
      </c>
      <c r="L30" s="25">
        <f t="shared" si="2"/>
        <v>165.029</v>
      </c>
      <c r="M30" s="25">
        <f t="shared" si="2"/>
        <v>690.36899999999991</v>
      </c>
      <c r="N30" s="25">
        <f t="shared" si="2"/>
        <v>14.058</v>
      </c>
      <c r="O30" s="25">
        <f t="shared" si="2"/>
        <v>10.7</v>
      </c>
      <c r="P30" s="25">
        <f t="shared" si="2"/>
        <v>14.773</v>
      </c>
      <c r="Q30" s="25">
        <f t="shared" si="2"/>
        <v>12.420999999999999</v>
      </c>
      <c r="R30" s="25">
        <f t="shared" si="2"/>
        <v>78.167500000000004</v>
      </c>
    </row>
    <row r="31" spans="1:18" x14ac:dyDescent="0.25">
      <c r="A31" s="36" t="s">
        <v>41</v>
      </c>
      <c r="B31" s="36"/>
      <c r="C31" s="36"/>
      <c r="D31" s="36"/>
      <c r="E31" s="6">
        <f>E18+E30</f>
        <v>247</v>
      </c>
      <c r="F31" s="6">
        <f>F18+F30</f>
        <v>66.528761904761922</v>
      </c>
      <c r="G31" s="6">
        <f>G18+G30</f>
        <v>62.567380952380958</v>
      </c>
      <c r="H31" s="6">
        <f>H18+H30</f>
        <v>256.44595238095235</v>
      </c>
      <c r="I31" s="6">
        <f>I18+I30</f>
        <v>1866.469761904762</v>
      </c>
      <c r="J31" s="21"/>
      <c r="K31" s="6">
        <f t="shared" ref="K31:R31" si="3">K18+K30</f>
        <v>808.72330952380946</v>
      </c>
      <c r="L31" s="6">
        <f t="shared" si="3"/>
        <v>254.56661904761904</v>
      </c>
      <c r="M31" s="6">
        <f t="shared" si="3"/>
        <v>1147.3242380952379</v>
      </c>
      <c r="N31" s="6">
        <f t="shared" si="3"/>
        <v>16.970380952380953</v>
      </c>
      <c r="O31" s="6">
        <f t="shared" si="3"/>
        <v>150.69380952380951</v>
      </c>
      <c r="P31" s="6">
        <f t="shared" si="3"/>
        <v>15.052047619047618</v>
      </c>
      <c r="Q31" s="6">
        <f t="shared" si="3"/>
        <v>14.045761904761903</v>
      </c>
      <c r="R31" s="6">
        <f t="shared" si="3"/>
        <v>80.852738095238095</v>
      </c>
    </row>
    <row r="32" spans="1:18" x14ac:dyDescent="0.25">
      <c r="A32" s="31"/>
      <c r="B32" s="31"/>
      <c r="C32" s="31"/>
      <c r="D32" s="31"/>
      <c r="E32" s="27"/>
      <c r="F32" s="27"/>
      <c r="G32" s="27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7"/>
    </row>
    <row r="33" spans="1:18" ht="15.75" customHeight="1" x14ac:dyDescent="0.25">
      <c r="A33" s="31"/>
      <c r="B33" s="31"/>
      <c r="C33" s="31"/>
      <c r="D33" s="31"/>
      <c r="E33" s="27"/>
      <c r="F33" s="27"/>
      <c r="G33" s="27"/>
      <c r="H33" s="27"/>
      <c r="I33" s="27"/>
      <c r="J33" s="28"/>
      <c r="K33" s="27"/>
      <c r="L33" s="27"/>
      <c r="M33" s="27"/>
      <c r="N33" s="27"/>
      <c r="O33" s="27"/>
      <c r="P33" s="27"/>
      <c r="Q33" s="27"/>
      <c r="R33" s="27"/>
    </row>
    <row r="34" spans="1:18" ht="15.75" x14ac:dyDescent="0.25">
      <c r="A34" s="37" t="s">
        <v>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15.75" x14ac:dyDescent="0.25">
      <c r="A35" s="67" t="s">
        <v>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ht="15.75" x14ac:dyDescent="0.25">
      <c r="A36" s="45" t="s">
        <v>42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15" customHeight="1" x14ac:dyDescent="0.25">
      <c r="A37" s="37" t="s">
        <v>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ht="15" customHeight="1" x14ac:dyDescent="0.25">
      <c r="A38" s="38" t="s">
        <v>5</v>
      </c>
      <c r="B38" s="39" t="s">
        <v>6</v>
      </c>
      <c r="C38" s="38" t="s">
        <v>7</v>
      </c>
      <c r="D38" s="42" t="s">
        <v>8</v>
      </c>
      <c r="E38" s="39" t="s">
        <v>9</v>
      </c>
      <c r="F38" s="40" t="s">
        <v>10</v>
      </c>
      <c r="G38" s="40" t="s">
        <v>11</v>
      </c>
      <c r="H38" s="40" t="s">
        <v>12</v>
      </c>
      <c r="I38" s="39" t="s">
        <v>13</v>
      </c>
      <c r="J38" s="7"/>
      <c r="K38" s="5" t="s">
        <v>14</v>
      </c>
      <c r="L38" s="5"/>
      <c r="M38" s="5"/>
      <c r="N38" s="5"/>
      <c r="O38" s="39" t="s">
        <v>15</v>
      </c>
      <c r="P38" s="39"/>
      <c r="Q38" s="39"/>
      <c r="R38" s="39"/>
    </row>
    <row r="39" spans="1:18" ht="15" customHeight="1" x14ac:dyDescent="0.25">
      <c r="A39" s="38"/>
      <c r="B39" s="39"/>
      <c r="C39" s="38"/>
      <c r="D39" s="42"/>
      <c r="E39" s="39"/>
      <c r="F39" s="41"/>
      <c r="G39" s="41"/>
      <c r="H39" s="41"/>
      <c r="I39" s="39"/>
      <c r="J39" s="7"/>
      <c r="K39" s="29" t="s">
        <v>16</v>
      </c>
      <c r="L39" s="30" t="s">
        <v>17</v>
      </c>
      <c r="M39" s="30" t="s">
        <v>18</v>
      </c>
      <c r="N39" s="30" t="s">
        <v>19</v>
      </c>
      <c r="O39" s="12" t="s">
        <v>20</v>
      </c>
      <c r="P39" s="30" t="s">
        <v>21</v>
      </c>
      <c r="Q39" s="30" t="s">
        <v>22</v>
      </c>
      <c r="R39" s="30" t="s">
        <v>23</v>
      </c>
    </row>
    <row r="40" spans="1:18" ht="102" x14ac:dyDescent="0.25">
      <c r="A40" s="24">
        <v>175</v>
      </c>
      <c r="B40" s="24" t="s">
        <v>24</v>
      </c>
      <c r="C40" s="20" t="s">
        <v>25</v>
      </c>
      <c r="D40" s="22" t="s">
        <v>43</v>
      </c>
      <c r="E40" s="23">
        <v>23.8</v>
      </c>
      <c r="F40" s="22">
        <v>4.3499999999999996</v>
      </c>
      <c r="G40" s="22">
        <v>9.42</v>
      </c>
      <c r="H40" s="22">
        <v>39.08</v>
      </c>
      <c r="I40" s="22">
        <v>259.36</v>
      </c>
      <c r="J40" s="22">
        <v>195</v>
      </c>
      <c r="K40" s="23">
        <v>127.7</v>
      </c>
      <c r="L40" s="23">
        <v>35.53</v>
      </c>
      <c r="M40" s="23">
        <v>149.6</v>
      </c>
      <c r="N40" s="23">
        <v>0.8</v>
      </c>
      <c r="O40" s="22">
        <v>52.31</v>
      </c>
      <c r="P40" s="23">
        <v>0.1</v>
      </c>
      <c r="Q40" s="22">
        <v>0.55000000000000004</v>
      </c>
      <c r="R40" s="15">
        <v>0.92</v>
      </c>
    </row>
    <row r="41" spans="1:18" x14ac:dyDescent="0.25">
      <c r="A41" s="2"/>
      <c r="B41" s="2" t="s">
        <v>27</v>
      </c>
      <c r="C41" s="9" t="s">
        <v>28</v>
      </c>
      <c r="D41" s="2">
        <v>50</v>
      </c>
      <c r="E41" s="3">
        <v>5.63</v>
      </c>
      <c r="F41" s="3">
        <v>4</v>
      </c>
      <c r="G41" s="3">
        <v>0.7</v>
      </c>
      <c r="H41" s="3">
        <v>21</v>
      </c>
      <c r="I41" s="3">
        <v>106</v>
      </c>
      <c r="J41" s="9"/>
      <c r="K41" s="3">
        <v>11.5</v>
      </c>
      <c r="L41" s="3">
        <v>16.5</v>
      </c>
      <c r="M41" s="3">
        <v>43.5</v>
      </c>
      <c r="N41" s="3">
        <v>1</v>
      </c>
      <c r="O41" s="2">
        <v>0</v>
      </c>
      <c r="P41" s="3">
        <v>0.1</v>
      </c>
      <c r="Q41" s="3">
        <v>0.8</v>
      </c>
      <c r="R41" s="8">
        <v>0</v>
      </c>
    </row>
    <row r="42" spans="1:18" x14ac:dyDescent="0.25">
      <c r="A42" s="10">
        <v>15</v>
      </c>
      <c r="B42" s="2" t="s">
        <v>29</v>
      </c>
      <c r="C42" s="9" t="s">
        <v>30</v>
      </c>
      <c r="D42" s="2">
        <v>20</v>
      </c>
      <c r="E42" s="3">
        <v>19.2</v>
      </c>
      <c r="F42" s="15">
        <v>4.6399999999999997</v>
      </c>
      <c r="G42" s="15">
        <v>5.9</v>
      </c>
      <c r="H42" s="14">
        <v>0</v>
      </c>
      <c r="I42" s="15">
        <v>71.66</v>
      </c>
      <c r="J42" s="26"/>
      <c r="K42" s="15">
        <v>176</v>
      </c>
      <c r="L42" s="15">
        <v>7</v>
      </c>
      <c r="M42" s="15">
        <v>100</v>
      </c>
      <c r="N42" s="15">
        <v>0.2</v>
      </c>
      <c r="O42" s="15">
        <v>52</v>
      </c>
      <c r="P42" s="14">
        <v>0</v>
      </c>
      <c r="Q42" s="14">
        <v>0</v>
      </c>
      <c r="R42" s="14">
        <v>0</v>
      </c>
    </row>
    <row r="43" spans="1:18" x14ac:dyDescent="0.25">
      <c r="A43" s="2"/>
      <c r="B43" s="2" t="s">
        <v>27</v>
      </c>
      <c r="C43" s="9" t="s">
        <v>32</v>
      </c>
      <c r="D43" s="2">
        <v>20</v>
      </c>
      <c r="E43" s="3">
        <v>4.2</v>
      </c>
      <c r="F43" s="3">
        <v>0.8</v>
      </c>
      <c r="G43" s="2">
        <v>1.04</v>
      </c>
      <c r="H43" s="2">
        <v>8.64</v>
      </c>
      <c r="I43" s="3">
        <v>46.92</v>
      </c>
      <c r="J43" s="2"/>
      <c r="K43" s="3">
        <v>13.2</v>
      </c>
      <c r="L43" s="3">
        <v>2.4</v>
      </c>
      <c r="M43" s="3">
        <v>10.8</v>
      </c>
      <c r="N43" s="3">
        <v>0.28000000000000003</v>
      </c>
      <c r="O43" s="3">
        <v>1.32</v>
      </c>
      <c r="P43" s="8">
        <f>0*30/50</f>
        <v>0</v>
      </c>
      <c r="Q43" s="8">
        <f t="shared" ref="Q43:R43" si="4">0*30/50</f>
        <v>0</v>
      </c>
      <c r="R43" s="8">
        <f t="shared" si="4"/>
        <v>0</v>
      </c>
    </row>
    <row r="44" spans="1:18" x14ac:dyDescent="0.25">
      <c r="A44" s="2">
        <v>382</v>
      </c>
      <c r="B44" s="2" t="s">
        <v>33</v>
      </c>
      <c r="C44" s="11" t="s">
        <v>34</v>
      </c>
      <c r="D44" s="16">
        <v>200</v>
      </c>
      <c r="E44" s="15">
        <v>13</v>
      </c>
      <c r="F44" s="12">
        <v>2.94</v>
      </c>
      <c r="G44" s="12">
        <v>3.42</v>
      </c>
      <c r="H44" s="12">
        <v>17.579999999999998</v>
      </c>
      <c r="I44" s="15">
        <v>118.6</v>
      </c>
      <c r="J44" s="12"/>
      <c r="K44" s="15">
        <v>152.19999999999999</v>
      </c>
      <c r="L44" s="15">
        <v>21.34</v>
      </c>
      <c r="M44" s="15">
        <v>124.56</v>
      </c>
      <c r="N44" s="15">
        <v>0.48</v>
      </c>
      <c r="O44" s="15">
        <v>24.4</v>
      </c>
      <c r="P44" s="15">
        <v>0.06</v>
      </c>
      <c r="Q44" s="13">
        <v>0.17</v>
      </c>
      <c r="R44" s="15">
        <v>1.59</v>
      </c>
    </row>
    <row r="45" spans="1:18" x14ac:dyDescent="0.25">
      <c r="A45" s="35" t="s">
        <v>35</v>
      </c>
      <c r="B45" s="35"/>
      <c r="C45" s="35"/>
      <c r="D45" s="18">
        <v>500</v>
      </c>
      <c r="E45" s="19">
        <f t="shared" ref="E45:R45" si="5">SUM(E40:E44)</f>
        <v>65.83</v>
      </c>
      <c r="F45" s="19">
        <f t="shared" si="5"/>
        <v>16.73</v>
      </c>
      <c r="G45" s="19">
        <f t="shared" si="5"/>
        <v>20.479999999999997</v>
      </c>
      <c r="H45" s="19">
        <f t="shared" si="5"/>
        <v>86.3</v>
      </c>
      <c r="I45" s="19">
        <f t="shared" si="5"/>
        <v>602.54</v>
      </c>
      <c r="J45" s="19">
        <f t="shared" si="5"/>
        <v>195</v>
      </c>
      <c r="K45" s="19">
        <f t="shared" si="5"/>
        <v>480.59999999999997</v>
      </c>
      <c r="L45" s="19">
        <f t="shared" si="5"/>
        <v>82.77</v>
      </c>
      <c r="M45" s="19">
        <f t="shared" si="5"/>
        <v>428.46000000000004</v>
      </c>
      <c r="N45" s="19">
        <f t="shared" si="5"/>
        <v>2.7600000000000002</v>
      </c>
      <c r="O45" s="19">
        <f t="shared" si="5"/>
        <v>130.03</v>
      </c>
      <c r="P45" s="19">
        <f t="shared" si="5"/>
        <v>0.26</v>
      </c>
      <c r="Q45" s="19">
        <f t="shared" si="5"/>
        <v>1.52</v>
      </c>
      <c r="R45" s="19">
        <f t="shared" si="5"/>
        <v>2.5100000000000002</v>
      </c>
    </row>
    <row r="46" spans="1:18" ht="15" customHeight="1" x14ac:dyDescent="0.25">
      <c r="A46" s="37" t="s">
        <v>36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ht="15" customHeight="1" x14ac:dyDescent="0.25">
      <c r="A47" s="38" t="s">
        <v>5</v>
      </c>
      <c r="B47" s="39" t="s">
        <v>6</v>
      </c>
      <c r="C47" s="38" t="s">
        <v>7</v>
      </c>
      <c r="D47" s="39" t="s">
        <v>8</v>
      </c>
      <c r="E47" s="39" t="s">
        <v>9</v>
      </c>
      <c r="F47" s="40" t="s">
        <v>10</v>
      </c>
      <c r="G47" s="40" t="s">
        <v>11</v>
      </c>
      <c r="H47" s="40" t="s">
        <v>12</v>
      </c>
      <c r="I47" s="39" t="s">
        <v>13</v>
      </c>
      <c r="J47" s="7"/>
      <c r="K47" s="5" t="s">
        <v>14</v>
      </c>
      <c r="L47" s="5"/>
      <c r="M47" s="5"/>
      <c r="N47" s="5"/>
      <c r="O47" s="39" t="s">
        <v>15</v>
      </c>
      <c r="P47" s="39"/>
      <c r="Q47" s="39"/>
      <c r="R47" s="39"/>
    </row>
    <row r="48" spans="1:18" ht="15" customHeight="1" x14ac:dyDescent="0.25">
      <c r="A48" s="38"/>
      <c r="B48" s="39"/>
      <c r="C48" s="38"/>
      <c r="D48" s="39"/>
      <c r="E48" s="39"/>
      <c r="F48" s="41"/>
      <c r="G48" s="41"/>
      <c r="H48" s="41"/>
      <c r="I48" s="39"/>
      <c r="J48" s="7"/>
      <c r="K48" s="29" t="s">
        <v>16</v>
      </c>
      <c r="L48" s="30" t="s">
        <v>17</v>
      </c>
      <c r="M48" s="30" t="s">
        <v>18</v>
      </c>
      <c r="N48" s="30" t="s">
        <v>19</v>
      </c>
      <c r="O48" s="30" t="s">
        <v>20</v>
      </c>
      <c r="P48" s="30" t="s">
        <v>21</v>
      </c>
      <c r="Q48" s="30" t="s">
        <v>22</v>
      </c>
      <c r="R48" s="30" t="s">
        <v>23</v>
      </c>
    </row>
    <row r="49" spans="1:18" ht="63.75" x14ac:dyDescent="0.25">
      <c r="A49" s="2">
        <v>71</v>
      </c>
      <c r="B49" s="62">
        <v>1</v>
      </c>
      <c r="C49" s="68" t="s">
        <v>53</v>
      </c>
      <c r="D49" s="2">
        <v>60</v>
      </c>
      <c r="E49" s="3">
        <v>19.82</v>
      </c>
      <c r="F49" s="64">
        <v>0.72</v>
      </c>
      <c r="G49" s="64">
        <v>0.12</v>
      </c>
      <c r="H49" s="69">
        <v>2.76</v>
      </c>
      <c r="I49" s="3">
        <v>15.6</v>
      </c>
      <c r="J49" s="9"/>
      <c r="K49" s="3">
        <v>8.4</v>
      </c>
      <c r="L49" s="3">
        <v>12</v>
      </c>
      <c r="M49" s="8">
        <v>0</v>
      </c>
      <c r="N49" s="2">
        <v>0.48</v>
      </c>
      <c r="O49" s="8">
        <v>0</v>
      </c>
      <c r="P49" s="8">
        <v>0</v>
      </c>
      <c r="Q49" s="8">
        <v>0</v>
      </c>
      <c r="R49" s="3">
        <v>10.5</v>
      </c>
    </row>
    <row r="50" spans="1:18" ht="77.25" x14ac:dyDescent="0.25">
      <c r="A50" s="2">
        <v>104</v>
      </c>
      <c r="B50" s="2" t="s">
        <v>27</v>
      </c>
      <c r="C50" s="4" t="s">
        <v>37</v>
      </c>
      <c r="D50" s="12" t="s">
        <v>44</v>
      </c>
      <c r="E50" s="2">
        <v>29.01</v>
      </c>
      <c r="F50" s="3">
        <f>9*200/220</f>
        <v>8.1818181818181817</v>
      </c>
      <c r="G50" s="3">
        <f>6.3*200/220</f>
        <v>5.7272727272727275</v>
      </c>
      <c r="H50" s="3">
        <f>22.1*200/220</f>
        <v>20.09090909090909</v>
      </c>
      <c r="I50" s="3">
        <f>180.9*200/220</f>
        <v>164.45454545454547</v>
      </c>
      <c r="J50" s="21"/>
      <c r="K50" s="3">
        <f>66.15*200/220</f>
        <v>60.136363636363647</v>
      </c>
      <c r="L50" s="3">
        <f>26.5*200/220</f>
        <v>24.09090909090909</v>
      </c>
      <c r="M50" s="3">
        <f>64.1*200/220</f>
        <v>58.272727272727266</v>
      </c>
      <c r="N50" s="3">
        <f>1.38*200/220</f>
        <v>1.2545454545454546</v>
      </c>
      <c r="O50" s="3">
        <f>0.8*200/220</f>
        <v>0.72727272727272729</v>
      </c>
      <c r="P50" s="3">
        <f>9.48*200/220</f>
        <v>8.6181818181818191</v>
      </c>
      <c r="Q50" s="3">
        <f>1.3*200/220</f>
        <v>1.1818181818181819</v>
      </c>
      <c r="R50" s="3">
        <f>20.03*200/220</f>
        <v>18.209090909090911</v>
      </c>
    </row>
    <row r="51" spans="1:18" ht="39" x14ac:dyDescent="0.25">
      <c r="A51" s="2">
        <v>282</v>
      </c>
      <c r="B51" s="2" t="s">
        <v>29</v>
      </c>
      <c r="C51" s="63" t="s">
        <v>54</v>
      </c>
      <c r="D51" s="12" t="s">
        <v>61</v>
      </c>
      <c r="E51" s="3">
        <v>61.08</v>
      </c>
      <c r="F51" s="3">
        <v>15.28</v>
      </c>
      <c r="G51" s="3">
        <v>18.46</v>
      </c>
      <c r="H51" s="2">
        <v>6.25</v>
      </c>
      <c r="I51" s="3">
        <v>268.36</v>
      </c>
      <c r="J51" s="9"/>
      <c r="K51" s="3">
        <v>19.600000000000001</v>
      </c>
      <c r="L51" s="3">
        <v>15.09</v>
      </c>
      <c r="M51" s="3">
        <v>223.38</v>
      </c>
      <c r="N51" s="3">
        <v>11.47</v>
      </c>
      <c r="O51" s="2">
        <v>6.48</v>
      </c>
      <c r="P51" s="3">
        <v>0.21</v>
      </c>
      <c r="Q51" s="3">
        <v>6.8</v>
      </c>
      <c r="R51" s="3">
        <v>77.94</v>
      </c>
    </row>
    <row r="52" spans="1:18" ht="64.5" x14ac:dyDescent="0.25">
      <c r="A52" s="2">
        <v>309</v>
      </c>
      <c r="B52" s="12" t="s">
        <v>31</v>
      </c>
      <c r="C52" s="65" t="s">
        <v>56</v>
      </c>
      <c r="D52" s="2">
        <v>150</v>
      </c>
      <c r="E52" s="3">
        <v>9.94</v>
      </c>
      <c r="F52" s="3">
        <v>5.52</v>
      </c>
      <c r="G52" s="3">
        <v>4.5</v>
      </c>
      <c r="H52" s="3">
        <v>26.45</v>
      </c>
      <c r="I52" s="3">
        <v>168.45</v>
      </c>
      <c r="J52" s="66"/>
      <c r="K52" s="3">
        <v>4.8600000000000003</v>
      </c>
      <c r="L52" s="3">
        <v>21.12</v>
      </c>
      <c r="M52" s="3">
        <v>37.17</v>
      </c>
      <c r="N52" s="3">
        <v>1.1025</v>
      </c>
      <c r="O52" s="8">
        <v>0</v>
      </c>
      <c r="P52" s="3">
        <v>5.2500000000000005E-2</v>
      </c>
      <c r="Q52" s="3">
        <v>0.78</v>
      </c>
      <c r="R52" s="3">
        <v>0</v>
      </c>
    </row>
    <row r="53" spans="1:18" ht="39" x14ac:dyDescent="0.25">
      <c r="A53" s="2">
        <v>349</v>
      </c>
      <c r="B53" s="2" t="s">
        <v>33</v>
      </c>
      <c r="C53" s="4" t="s">
        <v>39</v>
      </c>
      <c r="D53" s="12">
        <v>200</v>
      </c>
      <c r="E53" s="2">
        <v>7.02</v>
      </c>
      <c r="F53" s="3">
        <v>0.6</v>
      </c>
      <c r="G53" s="3">
        <v>0.09</v>
      </c>
      <c r="H53" s="2">
        <v>32.01</v>
      </c>
      <c r="I53" s="3">
        <v>132.80000000000001</v>
      </c>
      <c r="J53" s="9"/>
      <c r="K53" s="3">
        <v>32.479999999999997</v>
      </c>
      <c r="L53" s="3">
        <v>17.46</v>
      </c>
      <c r="M53" s="3">
        <v>23.44</v>
      </c>
      <c r="N53" s="3">
        <v>0.7</v>
      </c>
      <c r="O53" s="8">
        <v>0</v>
      </c>
      <c r="P53" s="3">
        <v>0.02</v>
      </c>
      <c r="Q53" s="3">
        <v>0.26</v>
      </c>
      <c r="R53" s="3">
        <v>0.73</v>
      </c>
    </row>
    <row r="54" spans="1:18" ht="26.25" x14ac:dyDescent="0.25">
      <c r="A54" s="2"/>
      <c r="B54" s="2" t="s">
        <v>62</v>
      </c>
      <c r="C54" s="4" t="s">
        <v>57</v>
      </c>
      <c r="D54" s="2">
        <v>30</v>
      </c>
      <c r="E54" s="3">
        <v>2.2000000000000002</v>
      </c>
      <c r="F54" s="3">
        <v>1.68</v>
      </c>
      <c r="G54" s="3">
        <v>0.33</v>
      </c>
      <c r="H54" s="2">
        <v>14.82</v>
      </c>
      <c r="I54" s="3">
        <v>68.97</v>
      </c>
      <c r="J54" s="9"/>
      <c r="K54" s="3">
        <v>6.9</v>
      </c>
      <c r="L54" s="3">
        <v>7.5</v>
      </c>
      <c r="M54" s="3">
        <v>31.799999999999997</v>
      </c>
      <c r="N54" s="3">
        <v>0.92999999999999994</v>
      </c>
      <c r="O54" s="8">
        <v>0</v>
      </c>
      <c r="P54" s="8">
        <v>0.03</v>
      </c>
      <c r="Q54" s="70">
        <v>0</v>
      </c>
      <c r="R54" s="3">
        <v>0</v>
      </c>
    </row>
    <row r="55" spans="1:18" x14ac:dyDescent="0.25">
      <c r="A55" s="2"/>
      <c r="B55" s="2" t="s">
        <v>58</v>
      </c>
      <c r="C55" s="11" t="s">
        <v>40</v>
      </c>
      <c r="D55" s="16">
        <v>30</v>
      </c>
      <c r="E55" s="15">
        <v>2.2000000000000002</v>
      </c>
      <c r="F55" s="15">
        <v>2.37</v>
      </c>
      <c r="G55" s="15">
        <v>0.3</v>
      </c>
      <c r="H55" s="12">
        <v>14.49</v>
      </c>
      <c r="I55" s="15">
        <v>70.14</v>
      </c>
      <c r="J55" s="11"/>
      <c r="K55" s="15">
        <v>6.8999999999999995</v>
      </c>
      <c r="L55" s="15">
        <v>9.8999999999999986</v>
      </c>
      <c r="M55" s="15">
        <v>26.099999999999998</v>
      </c>
      <c r="N55" s="15">
        <v>0.33</v>
      </c>
      <c r="O55" s="14">
        <v>0</v>
      </c>
      <c r="P55" s="14">
        <v>0.03</v>
      </c>
      <c r="Q55" s="13">
        <v>0</v>
      </c>
      <c r="R55" s="15">
        <v>0</v>
      </c>
    </row>
    <row r="56" spans="1:18" x14ac:dyDescent="0.25">
      <c r="A56" s="2">
        <v>386</v>
      </c>
      <c r="B56" s="2" t="s">
        <v>59</v>
      </c>
      <c r="C56" s="9" t="s">
        <v>60</v>
      </c>
      <c r="D56" s="2">
        <v>100</v>
      </c>
      <c r="E56" s="3">
        <v>14.42</v>
      </c>
      <c r="F56" s="3">
        <v>3</v>
      </c>
      <c r="G56" s="3">
        <v>1</v>
      </c>
      <c r="H56" s="3">
        <v>4.2</v>
      </c>
      <c r="I56" s="3">
        <v>40</v>
      </c>
      <c r="J56" s="9"/>
      <c r="K56" s="3">
        <v>124</v>
      </c>
      <c r="L56" s="3">
        <v>14</v>
      </c>
      <c r="M56" s="3">
        <v>92</v>
      </c>
      <c r="N56" s="3">
        <v>0.1</v>
      </c>
      <c r="O56" s="8">
        <v>0</v>
      </c>
      <c r="P56" s="8">
        <v>0.03</v>
      </c>
      <c r="Q56" s="3">
        <v>0.1</v>
      </c>
      <c r="R56" s="3">
        <v>0.3</v>
      </c>
    </row>
    <row r="57" spans="1:18" x14ac:dyDescent="0.25">
      <c r="A57" s="35" t="s">
        <v>35</v>
      </c>
      <c r="B57" s="35"/>
      <c r="C57" s="35"/>
      <c r="D57" s="17">
        <v>893</v>
      </c>
      <c r="E57" s="25">
        <f>SUM(E49:E56)</f>
        <v>145.68999999999997</v>
      </c>
      <c r="F57" s="25">
        <f>SUM(F49:F56)</f>
        <v>37.351818181818182</v>
      </c>
      <c r="G57" s="25">
        <f t="shared" ref="G57:R57" si="6">SUM(G49:G56)</f>
        <v>30.527272727272727</v>
      </c>
      <c r="H57" s="25">
        <f t="shared" si="6"/>
        <v>121.07090909090908</v>
      </c>
      <c r="I57" s="25">
        <f t="shared" si="6"/>
        <v>928.77454545454555</v>
      </c>
      <c r="J57" s="17">
        <f t="shared" si="6"/>
        <v>0</v>
      </c>
      <c r="K57" s="25">
        <f t="shared" si="6"/>
        <v>263.27636363636367</v>
      </c>
      <c r="L57" s="25">
        <f t="shared" si="6"/>
        <v>121.16090909090912</v>
      </c>
      <c r="M57" s="25">
        <f t="shared" si="6"/>
        <v>492.1627272727273</v>
      </c>
      <c r="N57" s="25">
        <f t="shared" si="6"/>
        <v>16.367045454545455</v>
      </c>
      <c r="O57" s="25">
        <f t="shared" si="6"/>
        <v>7.2072727272727279</v>
      </c>
      <c r="P57" s="25">
        <f t="shared" si="6"/>
        <v>8.9906818181818178</v>
      </c>
      <c r="Q57" s="17">
        <f t="shared" si="6"/>
        <v>9.1218181818181812</v>
      </c>
      <c r="R57" s="25">
        <f t="shared" si="6"/>
        <v>107.67909090909092</v>
      </c>
    </row>
    <row r="58" spans="1:18" x14ac:dyDescent="0.25">
      <c r="A58" s="36" t="s">
        <v>41</v>
      </c>
      <c r="B58" s="36"/>
      <c r="C58" s="36"/>
      <c r="D58" s="36"/>
      <c r="E58" s="6">
        <f>E45+E57</f>
        <v>211.51999999999998</v>
      </c>
      <c r="F58" s="6">
        <f>F45+F57</f>
        <v>54.081818181818178</v>
      </c>
      <c r="G58" s="6">
        <f>G45+G57</f>
        <v>51.007272727272721</v>
      </c>
      <c r="H58" s="6">
        <f>H45+H57</f>
        <v>207.37090909090909</v>
      </c>
      <c r="I58" s="6">
        <f>I45+I57</f>
        <v>1531.3145454545456</v>
      </c>
      <c r="J58" s="21"/>
      <c r="K58" s="6">
        <f t="shared" ref="K58:R58" si="7">K45+K57</f>
        <v>743.87636363636364</v>
      </c>
      <c r="L58" s="6">
        <f t="shared" si="7"/>
        <v>203.9309090909091</v>
      </c>
      <c r="M58" s="6">
        <f t="shared" si="7"/>
        <v>920.62272727272739</v>
      </c>
      <c r="N58" s="6">
        <f t="shared" si="7"/>
        <v>19.127045454545456</v>
      </c>
      <c r="O58" s="6">
        <f t="shared" si="7"/>
        <v>137.23727272727274</v>
      </c>
      <c r="P58" s="6">
        <f t="shared" si="7"/>
        <v>9.2506818181818176</v>
      </c>
      <c r="Q58" s="6">
        <f t="shared" si="7"/>
        <v>10.641818181818181</v>
      </c>
      <c r="R58" s="6">
        <f t="shared" si="7"/>
        <v>110.18909090909092</v>
      </c>
    </row>
    <row r="59" spans="1:18" x14ac:dyDescent="0.25">
      <c r="A59" s="59"/>
      <c r="B59" s="59"/>
      <c r="C59" s="59"/>
      <c r="D59" s="59"/>
      <c r="E59" s="27"/>
      <c r="F59" s="27"/>
      <c r="G59" s="27"/>
      <c r="H59" s="27"/>
      <c r="I59" s="27"/>
      <c r="J59" s="28"/>
      <c r="K59" s="27"/>
      <c r="L59" s="27"/>
      <c r="M59" s="27"/>
      <c r="N59" s="27"/>
      <c r="O59" s="27"/>
      <c r="P59" s="27"/>
      <c r="Q59" s="27"/>
      <c r="R59" s="27"/>
    </row>
  </sheetData>
  <mergeCells count="68">
    <mergeCell ref="O47:R47"/>
    <mergeCell ref="A57:C57"/>
    <mergeCell ref="A58:D58"/>
    <mergeCell ref="A30:C30"/>
    <mergeCell ref="A31:D31"/>
    <mergeCell ref="A34:R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O38:R38"/>
    <mergeCell ref="F20:F21"/>
    <mergeCell ref="G20:G21"/>
    <mergeCell ref="H20:H21"/>
    <mergeCell ref="I20:I21"/>
    <mergeCell ref="O20:R20"/>
    <mergeCell ref="A20:A21"/>
    <mergeCell ref="B20:B21"/>
    <mergeCell ref="C20:C21"/>
    <mergeCell ref="D20:D21"/>
    <mergeCell ref="E20:E21"/>
    <mergeCell ref="A37:R37"/>
    <mergeCell ref="A35:R35"/>
    <mergeCell ref="A45:C45"/>
    <mergeCell ref="A46:R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A1:C1"/>
    <mergeCell ref="D1:R1"/>
    <mergeCell ref="A2:C2"/>
    <mergeCell ref="A59:D59"/>
    <mergeCell ref="A36:R36"/>
    <mergeCell ref="D2:I2"/>
    <mergeCell ref="K2:R2"/>
    <mergeCell ref="A4:C4"/>
    <mergeCell ref="D4:R4"/>
    <mergeCell ref="A5:C5"/>
    <mergeCell ref="D5:F5"/>
    <mergeCell ref="G5:R5"/>
    <mergeCell ref="A6:R6"/>
    <mergeCell ref="A7:R7"/>
    <mergeCell ref="A8:R8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A18:C18"/>
    <mergeCell ref="A19:R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2023-11-16T07:49:05Z</dcterms:created>
  <dcterms:modified xsi:type="dcterms:W3CDTF">2024-01-12T04:35:56Z</dcterms:modified>
</cp:coreProperties>
</file>