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40" windowHeight="124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Лист1!$A$1:$R$329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6" i="1"/>
  <c r="R180"/>
  <c r="Q180"/>
  <c r="P180"/>
  <c r="O180"/>
  <c r="N180"/>
  <c r="M180"/>
  <c r="L180"/>
  <c r="K180"/>
  <c r="I180"/>
  <c r="H180"/>
  <c r="G180"/>
  <c r="F180"/>
  <c r="F314"/>
  <c r="G314"/>
  <c r="H314"/>
  <c r="I314"/>
  <c r="K314"/>
  <c r="L314"/>
  <c r="M314"/>
  <c r="N314"/>
  <c r="O314"/>
  <c r="P314"/>
  <c r="Q314"/>
  <c r="R314"/>
  <c r="E314"/>
  <c r="D155"/>
  <c r="R78"/>
  <c r="P78"/>
  <c r="O78"/>
  <c r="N78"/>
  <c r="M78"/>
  <c r="L78"/>
  <c r="K78"/>
  <c r="I78"/>
  <c r="H78"/>
  <c r="G78"/>
  <c r="F78"/>
  <c r="R278" l="1"/>
  <c r="Q278"/>
  <c r="P278"/>
  <c r="O278"/>
  <c r="N278"/>
  <c r="M278"/>
  <c r="L278"/>
  <c r="K278"/>
  <c r="I278"/>
  <c r="H278"/>
  <c r="G278"/>
  <c r="F278"/>
  <c r="R182"/>
  <c r="Q182"/>
  <c r="P182"/>
  <c r="O182"/>
  <c r="N182"/>
  <c r="M182"/>
  <c r="L182"/>
  <c r="K182"/>
  <c r="I182"/>
  <c r="H182"/>
  <c r="G182"/>
  <c r="F182"/>
  <c r="K113"/>
  <c r="L113"/>
  <c r="M113"/>
  <c r="N113"/>
  <c r="O113"/>
  <c r="P113"/>
  <c r="Q113"/>
  <c r="R113"/>
  <c r="E271"/>
  <c r="F271"/>
  <c r="G271"/>
  <c r="H271"/>
  <c r="I271"/>
  <c r="K271"/>
  <c r="L271"/>
  <c r="M271"/>
  <c r="N271"/>
  <c r="O271"/>
  <c r="P271"/>
  <c r="Q271"/>
  <c r="R271"/>
  <c r="E82"/>
  <c r="J82"/>
  <c r="Q82"/>
  <c r="R267"/>
  <c r="P267"/>
  <c r="O267"/>
  <c r="N267"/>
  <c r="M267"/>
  <c r="L267"/>
  <c r="K267"/>
  <c r="I267"/>
  <c r="H267"/>
  <c r="G267"/>
  <c r="F267"/>
  <c r="R82"/>
  <c r="P82"/>
  <c r="O82"/>
  <c r="N82"/>
  <c r="M82"/>
  <c r="L82"/>
  <c r="K82"/>
  <c r="I82"/>
  <c r="H82"/>
  <c r="G82"/>
  <c r="F82"/>
  <c r="R276"/>
  <c r="N276"/>
  <c r="L276"/>
  <c r="K276"/>
  <c r="I276"/>
  <c r="H276"/>
  <c r="G276"/>
  <c r="F276"/>
  <c r="R234"/>
  <c r="O234"/>
  <c r="N234"/>
  <c r="M234"/>
  <c r="L234"/>
  <c r="K234"/>
  <c r="I234"/>
  <c r="H234"/>
  <c r="G234"/>
  <c r="F234"/>
  <c r="R150" l="1"/>
  <c r="N150"/>
  <c r="L150"/>
  <c r="K150"/>
  <c r="I150"/>
  <c r="H150"/>
  <c r="G150"/>
  <c r="F150"/>
  <c r="Q142"/>
  <c r="P142"/>
  <c r="N142"/>
  <c r="M142"/>
  <c r="L142"/>
  <c r="K142"/>
  <c r="I142"/>
  <c r="H142"/>
  <c r="G142"/>
  <c r="F142"/>
  <c r="D93"/>
  <c r="Q120"/>
  <c r="P120"/>
  <c r="N120"/>
  <c r="M120"/>
  <c r="L120"/>
  <c r="K120"/>
  <c r="I120"/>
  <c r="H120"/>
  <c r="G120"/>
  <c r="F120"/>
  <c r="R109"/>
  <c r="P109"/>
  <c r="O109"/>
  <c r="N109"/>
  <c r="M109"/>
  <c r="L109"/>
  <c r="K109"/>
  <c r="I109"/>
  <c r="H109"/>
  <c r="G109"/>
  <c r="F109"/>
  <c r="R89"/>
  <c r="Q89"/>
  <c r="P89"/>
  <c r="O89"/>
  <c r="N89"/>
  <c r="M89"/>
  <c r="L89"/>
  <c r="K89"/>
  <c r="I89"/>
  <c r="H89"/>
  <c r="G89"/>
  <c r="F89"/>
  <c r="D49" l="1"/>
  <c r="O49"/>
  <c r="P49"/>
  <c r="Q49"/>
  <c r="R49"/>
  <c r="E49"/>
  <c r="R171" l="1"/>
  <c r="Q171"/>
  <c r="P171"/>
  <c r="O171"/>
  <c r="N171"/>
  <c r="M171"/>
  <c r="L171"/>
  <c r="K171"/>
  <c r="I171"/>
  <c r="H171"/>
  <c r="G171"/>
  <c r="F171"/>
  <c r="E18"/>
  <c r="Q213" l="1"/>
  <c r="P213"/>
  <c r="N213"/>
  <c r="M213"/>
  <c r="L213"/>
  <c r="K213"/>
  <c r="I213"/>
  <c r="H213"/>
  <c r="G213"/>
  <c r="F213"/>
  <c r="N212"/>
  <c r="M212"/>
  <c r="L212"/>
  <c r="K212"/>
  <c r="I212"/>
  <c r="H212"/>
  <c r="G212"/>
  <c r="F212"/>
  <c r="R211" l="1"/>
  <c r="P211"/>
  <c r="N211"/>
  <c r="M211"/>
  <c r="L211"/>
  <c r="K211"/>
  <c r="I211"/>
  <c r="H211"/>
  <c r="G211"/>
  <c r="F211"/>
  <c r="R23" l="1"/>
  <c r="Q23"/>
  <c r="P23"/>
  <c r="O23"/>
  <c r="N23"/>
  <c r="M23"/>
  <c r="L23"/>
  <c r="K23"/>
  <c r="I23"/>
  <c r="H23"/>
  <c r="G23"/>
  <c r="F23"/>
  <c r="E238" l="1"/>
  <c r="E29" l="1"/>
  <c r="J29"/>
  <c r="E283" l="1"/>
  <c r="F283"/>
  <c r="G283"/>
  <c r="H283"/>
  <c r="I283"/>
  <c r="J283"/>
  <c r="K283"/>
  <c r="L283"/>
  <c r="M283"/>
  <c r="N283"/>
  <c r="O283"/>
  <c r="P283"/>
  <c r="Q283"/>
  <c r="R283"/>
  <c r="E250"/>
  <c r="F250"/>
  <c r="G250"/>
  <c r="H250"/>
  <c r="I250"/>
  <c r="J250"/>
  <c r="K250"/>
  <c r="L250"/>
  <c r="M250"/>
  <c r="N250"/>
  <c r="O250"/>
  <c r="P250"/>
  <c r="Q250"/>
  <c r="R250"/>
  <c r="E218"/>
  <c r="J218"/>
  <c r="Q218"/>
  <c r="J187"/>
  <c r="O187"/>
  <c r="Q187"/>
  <c r="M187"/>
  <c r="L187"/>
  <c r="E187"/>
  <c r="P155"/>
  <c r="N155"/>
  <c r="M155"/>
  <c r="L155"/>
  <c r="K155"/>
  <c r="I155"/>
  <c r="H155"/>
  <c r="G155"/>
  <c r="F155"/>
  <c r="E155"/>
  <c r="J155"/>
  <c r="O155"/>
  <c r="Q155"/>
  <c r="R155"/>
  <c r="F145"/>
  <c r="G145"/>
  <c r="H145"/>
  <c r="I145"/>
  <c r="J145"/>
  <c r="K145"/>
  <c r="L145"/>
  <c r="M145"/>
  <c r="N145"/>
  <c r="O145"/>
  <c r="P145"/>
  <c r="Q145"/>
  <c r="R145"/>
  <c r="E145"/>
  <c r="F187" l="1"/>
  <c r="I187"/>
  <c r="O218"/>
  <c r="N187"/>
  <c r="F218"/>
  <c r="L218"/>
  <c r="M218"/>
  <c r="K187"/>
  <c r="K218"/>
  <c r="R187"/>
  <c r="I218"/>
  <c r="H187"/>
  <c r="H218"/>
  <c r="R218"/>
  <c r="G187"/>
  <c r="G218"/>
  <c r="P218"/>
  <c r="P187"/>
  <c r="N218"/>
  <c r="R125"/>
  <c r="Q125"/>
  <c r="P125"/>
  <c r="O125"/>
  <c r="N125"/>
  <c r="M125"/>
  <c r="L125"/>
  <c r="K125"/>
  <c r="I125"/>
  <c r="H125"/>
  <c r="G125"/>
  <c r="F125"/>
  <c r="E125"/>
  <c r="J125"/>
  <c r="E93"/>
  <c r="J93"/>
  <c r="O93"/>
  <c r="R93"/>
  <c r="E61"/>
  <c r="J61"/>
  <c r="F321" l="1"/>
  <c r="F322" s="1"/>
  <c r="Q93"/>
  <c r="P93"/>
  <c r="N93"/>
  <c r="M93"/>
  <c r="L93"/>
  <c r="K93"/>
  <c r="H93"/>
  <c r="R61"/>
  <c r="Q61"/>
  <c r="P61"/>
  <c r="O61"/>
  <c r="N61"/>
  <c r="M61"/>
  <c r="L61"/>
  <c r="K61"/>
  <c r="I61"/>
  <c r="H61"/>
  <c r="G61"/>
  <c r="F61"/>
  <c r="G93" l="1"/>
  <c r="I93"/>
  <c r="F93"/>
  <c r="P27"/>
  <c r="N27"/>
  <c r="M27"/>
  <c r="L27"/>
  <c r="K27"/>
  <c r="I27"/>
  <c r="H27"/>
  <c r="G27"/>
  <c r="F27"/>
  <c r="P26"/>
  <c r="N26"/>
  <c r="M26"/>
  <c r="L26"/>
  <c r="K26"/>
  <c r="I26"/>
  <c r="H26"/>
  <c r="G26"/>
  <c r="F26"/>
  <c r="O29"/>
  <c r="L29" l="1"/>
  <c r="R29"/>
  <c r="Q29"/>
  <c r="P29"/>
  <c r="N29"/>
  <c r="M29"/>
  <c r="K29"/>
  <c r="I29"/>
  <c r="H29"/>
  <c r="G29"/>
  <c r="F29"/>
  <c r="R13"/>
  <c r="Q13"/>
  <c r="P13"/>
  <c r="O13"/>
  <c r="N13"/>
  <c r="M13"/>
  <c r="L13"/>
  <c r="K13"/>
  <c r="I13"/>
  <c r="H13"/>
  <c r="G13"/>
  <c r="F13"/>
  <c r="F238" l="1"/>
  <c r="G238"/>
  <c r="H238"/>
  <c r="I238"/>
  <c r="J238"/>
  <c r="K238"/>
  <c r="L238"/>
  <c r="M238"/>
  <c r="N238"/>
  <c r="O238"/>
  <c r="P238"/>
  <c r="Q238"/>
  <c r="R238"/>
  <c r="F206" l="1"/>
  <c r="G206"/>
  <c r="H206"/>
  <c r="I206"/>
  <c r="J206"/>
  <c r="K206"/>
  <c r="L206"/>
  <c r="M206"/>
  <c r="N206"/>
  <c r="O206"/>
  <c r="P206"/>
  <c r="Q206"/>
  <c r="R206"/>
  <c r="E206"/>
  <c r="J94" l="1"/>
  <c r="J219"/>
  <c r="J284"/>
  <c r="J315"/>
  <c r="R303"/>
  <c r="Q303"/>
  <c r="P303"/>
  <c r="O303"/>
  <c r="N303"/>
  <c r="M303"/>
  <c r="L303"/>
  <c r="K303"/>
  <c r="I303"/>
  <c r="H303"/>
  <c r="G303"/>
  <c r="F303"/>
  <c r="E303"/>
  <c r="O94"/>
  <c r="R315" l="1"/>
  <c r="Q315"/>
  <c r="P315"/>
  <c r="O315"/>
  <c r="N315"/>
  <c r="M315"/>
  <c r="L315"/>
  <c r="K315"/>
  <c r="R284" l="1"/>
  <c r="P284"/>
  <c r="Q284"/>
  <c r="O284"/>
  <c r="N284"/>
  <c r="M284"/>
  <c r="L284"/>
  <c r="K284"/>
  <c r="R219" l="1"/>
  <c r="Q219"/>
  <c r="P219"/>
  <c r="O219"/>
  <c r="N219"/>
  <c r="M219"/>
  <c r="L219"/>
  <c r="K219"/>
  <c r="E94" l="1"/>
  <c r="Q251" l="1"/>
  <c r="P251"/>
  <c r="M251"/>
  <c r="L251"/>
  <c r="K251"/>
  <c r="R251"/>
  <c r="O251"/>
  <c r="R175"/>
  <c r="Q175"/>
  <c r="P175"/>
  <c r="O175"/>
  <c r="N175"/>
  <c r="N188" s="1"/>
  <c r="M175"/>
  <c r="L175"/>
  <c r="K175"/>
  <c r="K188" s="1"/>
  <c r="Q156"/>
  <c r="R94"/>
  <c r="Q94"/>
  <c r="P94"/>
  <c r="N94"/>
  <c r="M94"/>
  <c r="L94"/>
  <c r="K94"/>
  <c r="R18"/>
  <c r="Q18"/>
  <c r="P18"/>
  <c r="O18"/>
  <c r="O30" s="1"/>
  <c r="N18"/>
  <c r="N30" s="1"/>
  <c r="M18"/>
  <c r="M30" s="1"/>
  <c r="L18"/>
  <c r="K18"/>
  <c r="K30" s="1"/>
  <c r="Q188" l="1"/>
  <c r="O188"/>
  <c r="P156"/>
  <c r="R126"/>
  <c r="L188"/>
  <c r="R156"/>
  <c r="M188"/>
  <c r="R188"/>
  <c r="O156"/>
  <c r="N156"/>
  <c r="M156"/>
  <c r="L156"/>
  <c r="Q126"/>
  <c r="P126"/>
  <c r="N126"/>
  <c r="L126"/>
  <c r="K126"/>
  <c r="M126"/>
  <c r="O126"/>
  <c r="L30"/>
  <c r="P188"/>
  <c r="P30"/>
  <c r="K156"/>
  <c r="R30"/>
  <c r="N251"/>
  <c r="Q30"/>
  <c r="K62"/>
  <c r="M62"/>
  <c r="O62"/>
  <c r="Q62"/>
  <c r="L62"/>
  <c r="N62"/>
  <c r="P62"/>
  <c r="R62"/>
  <c r="I315"/>
  <c r="H315"/>
  <c r="G315"/>
  <c r="F315"/>
  <c r="E315"/>
  <c r="I284" l="1"/>
  <c r="H284"/>
  <c r="G284"/>
  <c r="F284"/>
  <c r="E284"/>
  <c r="I251" l="1"/>
  <c r="H251"/>
  <c r="G251"/>
  <c r="F251"/>
  <c r="E251"/>
  <c r="I219" l="1"/>
  <c r="H219"/>
  <c r="G219"/>
  <c r="F219"/>
  <c r="E219"/>
  <c r="I175" l="1"/>
  <c r="I188" s="1"/>
  <c r="H175"/>
  <c r="H188" s="1"/>
  <c r="G175"/>
  <c r="G188" s="1"/>
  <c r="F175"/>
  <c r="F188" s="1"/>
  <c r="E175"/>
  <c r="E188" l="1"/>
  <c r="I156" l="1"/>
  <c r="H156"/>
  <c r="G156"/>
  <c r="F156"/>
  <c r="E156"/>
  <c r="I113" l="1"/>
  <c r="I126" s="1"/>
  <c r="H113"/>
  <c r="H126" s="1"/>
  <c r="G113"/>
  <c r="G126" s="1"/>
  <c r="F113"/>
  <c r="F126" s="1"/>
  <c r="E113"/>
  <c r="E319" l="1"/>
  <c r="E320" s="1"/>
  <c r="E126"/>
  <c r="I94"/>
  <c r="H94"/>
  <c r="G94"/>
  <c r="F94"/>
  <c r="I18" l="1"/>
  <c r="I30" s="1"/>
  <c r="H18"/>
  <c r="G18"/>
  <c r="F18"/>
  <c r="I62" l="1"/>
  <c r="H62"/>
  <c r="G62"/>
  <c r="E62"/>
  <c r="F62"/>
  <c r="H30" l="1"/>
  <c r="G30"/>
  <c r="F30"/>
  <c r="E30" l="1"/>
</calcChain>
</file>

<file path=xl/sharedStrings.xml><?xml version="1.0" encoding="utf-8"?>
<sst xmlns="http://schemas.openxmlformats.org/spreadsheetml/2006/main" count="805" uniqueCount="127">
  <si>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</si>
  <si>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</si>
  <si>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</si>
  <si>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</si>
  <si>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</si>
  <si>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</si>
  <si>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</si>
  <si>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</si>
  <si>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</si>
  <si>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</si>
  <si>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</si>
  <si>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</si>
  <si>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</si>
  <si>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</si>
  <si>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</si>
  <si>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</si>
  <si>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</si>
  <si>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</si>
  <si>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</si>
  <si>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</si>
  <si>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</si>
  <si>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</si>
  <si>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</si>
  <si>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</si>
  <si>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</si>
  <si>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Печенье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</si>
  <si>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</si>
  <si>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</si>
  <si>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</si>
  <si>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</si>
  <si>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</si>
  <si>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</si>
  <si>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</si>
  <si>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</si>
  <si>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</si>
  <si>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</si>
  <si>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</si>
  <si>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</si>
  <si>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</si>
  <si>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</si>
  <si>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</si>
  <si>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</si>
  <si>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</si>
  <si>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</si>
  <si>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</si>
  <si>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</si>
  <si>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</si>
  <si>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Суп картофельный с  рисовой крупой</t>
  </si>
  <si>
    <t>Тефтели из говядины с  соусом</t>
  </si>
  <si>
    <t>Директор   школы    МОУ СОШ №</t>
  </si>
  <si>
    <t xml:space="preserve">Компот из сухофруктов </t>
  </si>
  <si>
    <t xml:space="preserve">Рагу из овощей </t>
  </si>
  <si>
    <t>Котлеты рыбные с маслом сливочным</t>
  </si>
  <si>
    <t xml:space="preserve"> Каша гречневая рассыпчатая</t>
  </si>
  <si>
    <t>Напиток апельсиновый</t>
  </si>
  <si>
    <t xml:space="preserve">Оладьи из говяжьей печени </t>
  </si>
  <si>
    <t>Батон в/с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</si>
  <si>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</si>
  <si>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</si>
  <si>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</si>
  <si>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</si>
  <si>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</si>
  <si>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</si>
  <si>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>Картофель и овощи, тушенные в соусе</t>
  </si>
  <si>
    <t xml:space="preserve"> Рассольник ленинградский</t>
  </si>
  <si>
    <t>А, мкг</t>
  </si>
  <si>
    <t>Хлеб пшеничный 1с.</t>
  </si>
  <si>
    <t>В1</t>
  </si>
  <si>
    <t>7.</t>
  </si>
  <si>
    <t>Выход,г</t>
  </si>
  <si>
    <t xml:space="preserve">Хлеб пшеничный </t>
  </si>
  <si>
    <t>Хлеб пшеничный</t>
  </si>
  <si>
    <t>Выход, г</t>
  </si>
  <si>
    <t>День 3</t>
  </si>
  <si>
    <t>Котлеты рубленные из кур, запеченные с соусом сметанным</t>
  </si>
  <si>
    <t>яйцо вареное</t>
  </si>
  <si>
    <t>Овощи натуральные свежие (помидоры)</t>
  </si>
  <si>
    <t>Овощи натуральные свежие (огурцы)</t>
  </si>
  <si>
    <t>Салат из свеклы отварной</t>
  </si>
  <si>
    <t>250/10</t>
  </si>
  <si>
    <t>8.</t>
  </si>
  <si>
    <t>Ряженка</t>
  </si>
  <si>
    <t>Снежок</t>
  </si>
  <si>
    <t xml:space="preserve">Пряники </t>
  </si>
  <si>
    <t>Хлеб ржаной</t>
  </si>
  <si>
    <t>Норма</t>
  </si>
  <si>
    <t>Итого</t>
  </si>
  <si>
    <t>45-54</t>
  </si>
  <si>
    <t>46-55,2</t>
  </si>
  <si>
    <t>191,5-229,8</t>
  </si>
  <si>
    <t>1360-1632</t>
  </si>
  <si>
    <t>Макаронные изделия отварные с маслом</t>
  </si>
  <si>
    <t>Каша вязкая молочная из риса и пшена  с маслом сливочным</t>
  </si>
  <si>
    <t>Сыр    (порциями)</t>
  </si>
  <si>
    <t xml:space="preserve"> Каша  жидкая молочная из манной крупы с маслом сливочным</t>
  </si>
  <si>
    <t>100/5</t>
  </si>
  <si>
    <t>Каша вязкая молочная  геркулесовая с маслом сливочным</t>
  </si>
  <si>
    <t>250/35</t>
  </si>
  <si>
    <t>Рагу из курицы</t>
  </si>
  <si>
    <t>150/30</t>
  </si>
  <si>
    <t>294/330</t>
  </si>
  <si>
    <t>( 12 лет и старше )</t>
  </si>
  <si>
    <t>Гуляш из говядины</t>
  </si>
  <si>
    <t>100/30</t>
  </si>
  <si>
    <t>279/331</t>
  </si>
  <si>
    <t>Рыба (морская), тушенная в томате с овощами</t>
  </si>
  <si>
    <t>Завтрак</t>
  </si>
  <si>
    <t>Средняя стоим. 1 дня</t>
  </si>
  <si>
    <t>Обед</t>
  </si>
  <si>
    <t xml:space="preserve"> Суп картофельный с бобовыми     (горох) </t>
  </si>
  <si>
    <t xml:space="preserve">                      "___"____________  2024г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</si>
  <si>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</si>
  <si>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</si>
  <si>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t xml:space="preserve">                          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</si>
  <si>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" Утверждаю "</t>
  </si>
  <si>
    <t xml:space="preserve">Борщ из свежей капусты с картофелем  со сметаной 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</si>
  <si>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</si>
  <si>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</si>
  <si>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Салат из белокочанной капусты.</t>
  </si>
  <si>
    <t>Жаркое по-домашнему</t>
  </si>
  <si>
    <t xml:space="preserve"> Плов из курицы</t>
  </si>
  <si>
    <t>Сок фруктовый в ассортименте</t>
  </si>
  <si>
    <t xml:space="preserve">                                Директор  ООО "Общепит-Н"  </t>
  </si>
  <si>
    <t>"01"октября   2024г</t>
  </si>
  <si>
    <t>Сырники из творога с  йогуртом</t>
  </si>
  <si>
    <t>190/30</t>
  </si>
  <si>
    <t xml:space="preserve">Фрукт свежий, сезонный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</si>
</sst>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2" fontId="2" fillId="0" borderId="0" xfId="0" applyNumberFormat="1" applyFont="1" applyBorder="1"/>
    <xf numFmtId="2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/>
    <xf numFmtId="2" fontId="1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2" fillId="2" borderId="1" xfId="0" applyNumberFormat="1" applyFont="1" applyFill="1" applyBorder="1"/>
    <xf numFmtId="2" fontId="2" fillId="0" borderId="1" xfId="0" applyNumberFormat="1" applyFont="1" applyBorder="1" applyAlignment="1"/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/>
    <xf numFmtId="0" fontId="0" fillId="0" borderId="1" xfId="0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 vertical="distributed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3" fillId="0" borderId="0" xfId="0" applyFont="1" applyAlignment="1">
      <alignment horizontal="center" vertical="distributed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39"/>
  <sheetViews>
    <sheetView tabSelected="1" view="pageBreakPreview" zoomScale="110" zoomScaleNormal="100" zoomScaleSheetLayoutView="110" workbookViewId="0">
      <selection activeCell="C16" sqref="C16:R16"/>
    </sheetView>
  </sheetViews>
  <sheetFormatPr defaultRowHeight="15"/>
  <cols>
    <col min="1" max="1" width="6" customWidth="1"/>
    <col min="2" max="2" width="5" customWidth="1"/>
    <col min="3" max="3" width="41" customWidth="1"/>
    <col min="4" max="4" width="7" customWidth="1"/>
    <col min="5" max="5" width="8.85546875" customWidth="1"/>
    <col min="6" max="6" width="9" customWidth="1"/>
    <col min="7" max="7" width="7.42578125" customWidth="1"/>
    <col min="8" max="8" width="9.7109375" customWidth="1"/>
    <col min="9" max="9" width="9.140625" customWidth="1"/>
    <col min="10" max="10" width="0.7109375" hidden="1" customWidth="1"/>
    <col min="11" max="12" width="7" customWidth="1"/>
    <col min="13" max="13" width="7.42578125" customWidth="1"/>
    <col min="14" max="14" width="6.85546875" customWidth="1"/>
    <col min="15" max="15" width="6.5703125" customWidth="1"/>
    <col min="16" max="16" width="6.42578125" customWidth="1"/>
    <col min="17" max="17" width="7.42578125" customWidth="1"/>
    <col min="18" max="18" width="6.85546875" customWidth="1"/>
    <col min="20" max="20" width="15.42578125" customWidth="1"/>
    <col min="34" max="34" width="5.140625" customWidth="1"/>
  </cols>
  <sheetData>
    <row r="1" spans="1:18" ht="20.25" customHeight="1">
      <c r="A1" s="98" t="s">
        <v>37</v>
      </c>
      <c r="B1" s="98"/>
      <c r="C1" s="98"/>
      <c r="D1" s="126" t="s">
        <v>113</v>
      </c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ht="15" customHeight="1">
      <c r="A2" s="99" t="s">
        <v>49</v>
      </c>
      <c r="B2" s="99"/>
      <c r="C2" s="99"/>
      <c r="D2" s="125"/>
      <c r="E2" s="125"/>
      <c r="F2" s="125"/>
      <c r="G2" s="125"/>
      <c r="H2" s="125"/>
      <c r="I2" s="125"/>
      <c r="J2" s="11"/>
      <c r="K2" s="127" t="s">
        <v>122</v>
      </c>
      <c r="L2" s="127"/>
      <c r="M2" s="127"/>
      <c r="N2" s="127"/>
      <c r="O2" s="127"/>
      <c r="P2" s="127"/>
      <c r="Q2" s="127"/>
      <c r="R2" s="127"/>
    </row>
    <row r="3" spans="1:18" ht="15" hidden="1" customHeight="1">
      <c r="A3" s="10"/>
      <c r="B3" s="10"/>
      <c r="C3" s="10"/>
      <c r="D3" s="10"/>
      <c r="E3" s="10"/>
      <c r="F3" s="10"/>
      <c r="G3" s="10"/>
      <c r="H3" s="10"/>
      <c r="I3" s="10"/>
      <c r="J3" s="11"/>
      <c r="K3" s="12"/>
      <c r="L3" s="12"/>
      <c r="M3" s="12"/>
      <c r="N3" s="12"/>
      <c r="O3" s="12"/>
      <c r="P3" s="12"/>
      <c r="Q3" s="12"/>
      <c r="R3" s="12"/>
    </row>
    <row r="4" spans="1:18" ht="15" customHeight="1">
      <c r="A4" s="100" t="s">
        <v>112</v>
      </c>
      <c r="B4" s="100"/>
      <c r="C4" s="100"/>
      <c r="D4" s="128" t="s">
        <v>116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</row>
    <row r="5" spans="1:18" ht="15" customHeight="1">
      <c r="A5" s="101" t="s">
        <v>110</v>
      </c>
      <c r="B5" s="101"/>
      <c r="C5" s="101"/>
      <c r="D5" s="124"/>
      <c r="E5" s="124"/>
      <c r="F5" s="124"/>
      <c r="G5" s="129" t="s">
        <v>123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6" spans="1:18" ht="21" customHeight="1">
      <c r="A6" s="130" t="s">
        <v>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</row>
    <row r="7" spans="1:18" ht="16.5" customHeight="1">
      <c r="A7" s="134" t="s">
        <v>6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</row>
    <row r="8" spans="1:18" ht="15" customHeight="1">
      <c r="A8" s="96" t="s">
        <v>101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</row>
    <row r="9" spans="1:18" ht="18" customHeight="1">
      <c r="A9" s="131" t="s">
        <v>36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3"/>
    </row>
    <row r="10" spans="1:18" ht="18" customHeight="1">
      <c r="A10" s="115" t="s">
        <v>4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</row>
    <row r="11" spans="1:18" ht="18" customHeight="1">
      <c r="A11" s="112" t="s">
        <v>26</v>
      </c>
      <c r="B11" s="108" t="s">
        <v>0</v>
      </c>
      <c r="C11" s="112" t="s">
        <v>35</v>
      </c>
      <c r="D11" s="119" t="s">
        <v>69</v>
      </c>
      <c r="E11" s="108" t="s">
        <v>2</v>
      </c>
      <c r="F11" s="105" t="s">
        <v>58</v>
      </c>
      <c r="G11" s="105" t="s">
        <v>59</v>
      </c>
      <c r="H11" s="105" t="s">
        <v>60</v>
      </c>
      <c r="I11" s="108" t="s">
        <v>3</v>
      </c>
      <c r="J11" s="15"/>
      <c r="K11" s="8" t="s">
        <v>61</v>
      </c>
      <c r="L11" s="8"/>
      <c r="M11" s="8"/>
      <c r="N11" s="8"/>
      <c r="O11" s="108" t="s">
        <v>62</v>
      </c>
      <c r="P11" s="108"/>
      <c r="Q11" s="108"/>
      <c r="R11" s="108"/>
    </row>
    <row r="12" spans="1:18" ht="15" customHeight="1">
      <c r="A12" s="112"/>
      <c r="B12" s="108"/>
      <c r="C12" s="112"/>
      <c r="D12" s="119"/>
      <c r="E12" s="108"/>
      <c r="F12" s="107"/>
      <c r="G12" s="107"/>
      <c r="H12" s="107"/>
      <c r="I12" s="108"/>
      <c r="J12" s="15"/>
      <c r="K12" s="30" t="s">
        <v>27</v>
      </c>
      <c r="L12" s="24" t="s">
        <v>28</v>
      </c>
      <c r="M12" s="24" t="s">
        <v>29</v>
      </c>
      <c r="N12" s="24" t="s">
        <v>30</v>
      </c>
      <c r="O12" s="32" t="s">
        <v>31</v>
      </c>
      <c r="P12" s="24" t="s">
        <v>67</v>
      </c>
      <c r="Q12" s="24" t="s">
        <v>33</v>
      </c>
      <c r="R12" s="24" t="s">
        <v>34</v>
      </c>
    </row>
    <row r="13" spans="1:18" ht="30.75" customHeight="1">
      <c r="A13" s="26">
        <v>175</v>
      </c>
      <c r="B13" s="25" t="s">
        <v>7</v>
      </c>
      <c r="C13" s="43" t="s">
        <v>92</v>
      </c>
      <c r="D13" s="50" t="s">
        <v>79</v>
      </c>
      <c r="E13" s="51">
        <v>34.46</v>
      </c>
      <c r="F13" s="51">
        <f>5.8*250/210</f>
        <v>6.9047619047619051</v>
      </c>
      <c r="G13" s="51">
        <f>10.67*250/210</f>
        <v>12.702380952380953</v>
      </c>
      <c r="H13" s="51">
        <f>41.48*250/210</f>
        <v>49.38095238095238</v>
      </c>
      <c r="I13" s="51">
        <f>286.36*250/210</f>
        <v>340.90476190476193</v>
      </c>
      <c r="J13" s="50">
        <v>195</v>
      </c>
      <c r="K13" s="51">
        <f>127.7*250/210</f>
        <v>152.02380952380952</v>
      </c>
      <c r="L13" s="51">
        <f>35.53*250/210</f>
        <v>42.297619047619051</v>
      </c>
      <c r="M13" s="51">
        <f>149.6*250/210</f>
        <v>178.0952380952381</v>
      </c>
      <c r="N13" s="51">
        <f>0.8*250/210</f>
        <v>0.95238095238095233</v>
      </c>
      <c r="O13" s="51">
        <f>52.31*250/210</f>
        <v>62.273809523809526</v>
      </c>
      <c r="P13" s="51">
        <f>0.1*250/210</f>
        <v>0.11904761904761904</v>
      </c>
      <c r="Q13" s="51">
        <f>0.55*250/210</f>
        <v>0.65476190476190477</v>
      </c>
      <c r="R13" s="35">
        <f>0.92*250/210</f>
        <v>1.0952380952380953</v>
      </c>
    </row>
    <row r="14" spans="1:18" ht="18" customHeight="1">
      <c r="A14" s="1"/>
      <c r="B14" s="1" t="s">
        <v>8</v>
      </c>
      <c r="C14" s="27" t="s">
        <v>56</v>
      </c>
      <c r="D14" s="1">
        <v>50</v>
      </c>
      <c r="E14" s="2">
        <v>5.63</v>
      </c>
      <c r="F14" s="2">
        <v>4</v>
      </c>
      <c r="G14" s="2">
        <v>0.7</v>
      </c>
      <c r="H14" s="2">
        <v>21</v>
      </c>
      <c r="I14" s="2">
        <v>106</v>
      </c>
      <c r="J14" s="27"/>
      <c r="K14" s="2">
        <v>11.5</v>
      </c>
      <c r="L14" s="2">
        <v>16.5</v>
      </c>
      <c r="M14" s="2">
        <v>43.5</v>
      </c>
      <c r="N14" s="2">
        <v>1</v>
      </c>
      <c r="O14" s="1">
        <v>0</v>
      </c>
      <c r="P14" s="2">
        <v>0.1</v>
      </c>
      <c r="Q14" s="2">
        <v>0.8</v>
      </c>
      <c r="R14" s="74">
        <v>0</v>
      </c>
    </row>
    <row r="15" spans="1:18" ht="18" customHeight="1">
      <c r="A15" s="28">
        <v>15</v>
      </c>
      <c r="B15" s="1" t="s">
        <v>9</v>
      </c>
      <c r="C15" s="27" t="s">
        <v>93</v>
      </c>
      <c r="D15" s="1">
        <v>20</v>
      </c>
      <c r="E15" s="2">
        <v>19.95</v>
      </c>
      <c r="F15" s="35">
        <v>4.6399999999999997</v>
      </c>
      <c r="G15" s="35">
        <v>5.9</v>
      </c>
      <c r="H15" s="75">
        <v>0</v>
      </c>
      <c r="I15" s="35">
        <v>71.66</v>
      </c>
      <c r="J15" s="69"/>
      <c r="K15" s="35">
        <v>176</v>
      </c>
      <c r="L15" s="35">
        <v>7</v>
      </c>
      <c r="M15" s="35">
        <v>100</v>
      </c>
      <c r="N15" s="35">
        <v>0.2</v>
      </c>
      <c r="O15" s="35">
        <v>52</v>
      </c>
      <c r="P15" s="75">
        <v>0</v>
      </c>
      <c r="Q15" s="75">
        <v>0</v>
      </c>
      <c r="R15" s="75">
        <v>0</v>
      </c>
    </row>
    <row r="16" spans="1:18" ht="18" customHeight="1">
      <c r="A16" s="1"/>
      <c r="B16" s="1" t="s">
        <v>13</v>
      </c>
      <c r="C16" s="27" t="s">
        <v>25</v>
      </c>
      <c r="D16" s="1">
        <v>25</v>
      </c>
      <c r="E16" s="2">
        <v>5.25</v>
      </c>
      <c r="F16" s="2">
        <v>1.75</v>
      </c>
      <c r="G16" s="2">
        <v>4.5</v>
      </c>
      <c r="H16" s="2">
        <v>16.5</v>
      </c>
      <c r="I16" s="2">
        <v>100</v>
      </c>
      <c r="J16" s="1"/>
      <c r="K16" s="2">
        <v>5.75</v>
      </c>
      <c r="L16" s="2">
        <v>2.5</v>
      </c>
      <c r="M16" s="2">
        <v>16.25</v>
      </c>
      <c r="N16" s="2">
        <v>1.05</v>
      </c>
      <c r="O16" s="74">
        <v>0</v>
      </c>
      <c r="P16" s="2">
        <v>0.09</v>
      </c>
      <c r="Q16" s="2">
        <v>0.42</v>
      </c>
      <c r="R16" s="74">
        <f t="shared" ref="R16" si="0">0*30/50</f>
        <v>0</v>
      </c>
    </row>
    <row r="17" spans="1:18" ht="18" customHeight="1">
      <c r="A17" s="1">
        <v>382</v>
      </c>
      <c r="B17" s="1" t="s">
        <v>14</v>
      </c>
      <c r="C17" s="31" t="s">
        <v>10</v>
      </c>
      <c r="D17" s="37">
        <v>200</v>
      </c>
      <c r="E17" s="35">
        <v>16.54</v>
      </c>
      <c r="F17" s="32">
        <v>2.94</v>
      </c>
      <c r="G17" s="32">
        <v>3.42</v>
      </c>
      <c r="H17" s="32">
        <v>17.579999999999998</v>
      </c>
      <c r="I17" s="35">
        <v>118.6</v>
      </c>
      <c r="J17" s="32"/>
      <c r="K17" s="35">
        <v>152.19999999999999</v>
      </c>
      <c r="L17" s="35">
        <v>21.34</v>
      </c>
      <c r="M17" s="35">
        <v>124.56</v>
      </c>
      <c r="N17" s="35">
        <v>0.48</v>
      </c>
      <c r="O17" s="35">
        <v>24.4</v>
      </c>
      <c r="P17" s="35">
        <v>0.06</v>
      </c>
      <c r="Q17" s="33">
        <v>0.17</v>
      </c>
      <c r="R17" s="35">
        <v>1.59</v>
      </c>
    </row>
    <row r="18" spans="1:18">
      <c r="A18" s="114" t="s">
        <v>11</v>
      </c>
      <c r="B18" s="114"/>
      <c r="C18" s="114"/>
      <c r="D18" s="39">
        <v>555</v>
      </c>
      <c r="E18" s="40">
        <f>SUM(E13:E17)</f>
        <v>81.830000000000013</v>
      </c>
      <c r="F18" s="40">
        <f>SUM(F13:F17)</f>
        <v>20.234761904761907</v>
      </c>
      <c r="G18" s="40">
        <f>SUM(G13:G17)</f>
        <v>27.222380952380952</v>
      </c>
      <c r="H18" s="40">
        <f>SUM(H13:H17)</f>
        <v>104.46095238095238</v>
      </c>
      <c r="I18" s="40">
        <f>SUM(I13:I17)</f>
        <v>737.16476190476192</v>
      </c>
      <c r="J18" s="41"/>
      <c r="K18" s="40">
        <f t="shared" ref="K18:R18" si="1">SUM(K13:K17)</f>
        <v>497.47380952380951</v>
      </c>
      <c r="L18" s="40">
        <f t="shared" si="1"/>
        <v>89.637619047619054</v>
      </c>
      <c r="M18" s="40">
        <f t="shared" si="1"/>
        <v>462.40523809523808</v>
      </c>
      <c r="N18" s="40">
        <f t="shared" si="1"/>
        <v>3.6823809523809525</v>
      </c>
      <c r="O18" s="40">
        <f t="shared" si="1"/>
        <v>138.67380952380952</v>
      </c>
      <c r="P18" s="40">
        <f t="shared" si="1"/>
        <v>0.36904761904761901</v>
      </c>
      <c r="Q18" s="40">
        <f t="shared" si="1"/>
        <v>2.0447619047619048</v>
      </c>
      <c r="R18" s="40">
        <f t="shared" si="1"/>
        <v>2.6852380952380956</v>
      </c>
    </row>
    <row r="19" spans="1:18" ht="18" customHeight="1">
      <c r="A19" s="115" t="s">
        <v>12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</row>
    <row r="20" spans="1:18" ht="18" customHeight="1">
      <c r="A20" s="112" t="s">
        <v>26</v>
      </c>
      <c r="B20" s="108" t="s">
        <v>0</v>
      </c>
      <c r="C20" s="112" t="s">
        <v>35</v>
      </c>
      <c r="D20" s="108" t="s">
        <v>69</v>
      </c>
      <c r="E20" s="108" t="s">
        <v>2</v>
      </c>
      <c r="F20" s="105" t="s">
        <v>58</v>
      </c>
      <c r="G20" s="105" t="s">
        <v>59</v>
      </c>
      <c r="H20" s="105" t="s">
        <v>60</v>
      </c>
      <c r="I20" s="108" t="s">
        <v>3</v>
      </c>
      <c r="J20" s="15"/>
      <c r="K20" s="8" t="s">
        <v>61</v>
      </c>
      <c r="L20" s="8"/>
      <c r="M20" s="8"/>
      <c r="N20" s="8"/>
      <c r="O20" s="108" t="s">
        <v>62</v>
      </c>
      <c r="P20" s="108"/>
      <c r="Q20" s="108"/>
      <c r="R20" s="108"/>
    </row>
    <row r="21" spans="1:18" ht="15" customHeight="1">
      <c r="A21" s="112"/>
      <c r="B21" s="108"/>
      <c r="C21" s="112"/>
      <c r="D21" s="108"/>
      <c r="E21" s="108"/>
      <c r="F21" s="107"/>
      <c r="G21" s="107"/>
      <c r="H21" s="107"/>
      <c r="I21" s="108"/>
      <c r="J21" s="15"/>
      <c r="K21" s="30" t="s">
        <v>27</v>
      </c>
      <c r="L21" s="24" t="s">
        <v>28</v>
      </c>
      <c r="M21" s="24" t="s">
        <v>29</v>
      </c>
      <c r="N21" s="24" t="s">
        <v>30</v>
      </c>
      <c r="O21" s="24" t="s">
        <v>31</v>
      </c>
      <c r="P21" s="24" t="s">
        <v>67</v>
      </c>
      <c r="Q21" s="24" t="s">
        <v>33</v>
      </c>
      <c r="R21" s="24" t="s">
        <v>34</v>
      </c>
    </row>
    <row r="22" spans="1:18" ht="18" customHeight="1">
      <c r="A22" s="48">
        <v>71</v>
      </c>
      <c r="B22" s="34" t="s">
        <v>7</v>
      </c>
      <c r="C22" s="5" t="s">
        <v>76</v>
      </c>
      <c r="D22" s="1">
        <v>100</v>
      </c>
      <c r="E22" s="2">
        <v>27.14</v>
      </c>
      <c r="F22" s="68">
        <v>1.2</v>
      </c>
      <c r="G22" s="68">
        <v>0.2</v>
      </c>
      <c r="H22" s="68">
        <v>4.5999999999999996</v>
      </c>
      <c r="I22" s="2">
        <v>26</v>
      </c>
      <c r="J22" s="49"/>
      <c r="K22" s="2">
        <v>14</v>
      </c>
      <c r="L22" s="2">
        <v>20</v>
      </c>
      <c r="M22" s="2">
        <v>0</v>
      </c>
      <c r="N22" s="2">
        <v>0.8</v>
      </c>
      <c r="O22" s="2">
        <v>0</v>
      </c>
      <c r="P22" s="2">
        <v>0</v>
      </c>
      <c r="Q22" s="2">
        <v>0</v>
      </c>
      <c r="R22" s="2">
        <v>17.5</v>
      </c>
    </row>
    <row r="23" spans="1:18" ht="17.25" customHeight="1">
      <c r="A23" s="1">
        <v>104</v>
      </c>
      <c r="B23" s="1" t="s">
        <v>8</v>
      </c>
      <c r="C23" s="4" t="s">
        <v>20</v>
      </c>
      <c r="D23" s="32" t="s">
        <v>97</v>
      </c>
      <c r="E23" s="2">
        <v>41.08</v>
      </c>
      <c r="F23" s="2">
        <f>9*250/200</f>
        <v>11.25</v>
      </c>
      <c r="G23" s="2">
        <f>6.3*250/200</f>
        <v>7.875</v>
      </c>
      <c r="H23" s="2">
        <f>22.1*250/200</f>
        <v>27.625</v>
      </c>
      <c r="I23" s="2">
        <f>180.9*250/200</f>
        <v>226.125</v>
      </c>
      <c r="J23" s="2"/>
      <c r="K23" s="2">
        <f>66.15*250/200</f>
        <v>82.6875</v>
      </c>
      <c r="L23" s="2">
        <f>26.5*250/200</f>
        <v>33.125</v>
      </c>
      <c r="M23" s="2">
        <f>64.1*250/200</f>
        <v>80.124999999999986</v>
      </c>
      <c r="N23" s="2">
        <f>1.38*250/200</f>
        <v>1.7250000000000001</v>
      </c>
      <c r="O23" s="2">
        <f>0.8*250/200</f>
        <v>1</v>
      </c>
      <c r="P23" s="2">
        <f>9.48*250/200</f>
        <v>11.85</v>
      </c>
      <c r="Q23" s="2">
        <f>1.3*250/200</f>
        <v>1.625</v>
      </c>
      <c r="R23" s="2">
        <f>20.03*250/200</f>
        <v>25.037500000000001</v>
      </c>
    </row>
    <row r="24" spans="1:18" ht="19.5" customHeight="1">
      <c r="A24" s="1">
        <v>289</v>
      </c>
      <c r="B24" s="1" t="s">
        <v>9</v>
      </c>
      <c r="C24" s="5" t="s">
        <v>98</v>
      </c>
      <c r="D24" s="1">
        <v>280</v>
      </c>
      <c r="E24" s="2">
        <v>66.62</v>
      </c>
      <c r="F24" s="2">
        <v>22.6</v>
      </c>
      <c r="G24" s="2">
        <v>28.6</v>
      </c>
      <c r="H24" s="2">
        <v>29.4</v>
      </c>
      <c r="I24" s="2">
        <v>465.6</v>
      </c>
      <c r="J24" s="2"/>
      <c r="K24" s="2">
        <v>58.9</v>
      </c>
      <c r="L24" s="2">
        <v>62.2</v>
      </c>
      <c r="M24" s="2">
        <v>173.1</v>
      </c>
      <c r="N24" s="2">
        <v>3</v>
      </c>
      <c r="O24" s="2">
        <v>0</v>
      </c>
      <c r="P24" s="2">
        <v>0.3</v>
      </c>
      <c r="Q24" s="2">
        <v>6.7</v>
      </c>
      <c r="R24" s="2">
        <v>18.100000000000001</v>
      </c>
    </row>
    <row r="25" spans="1:18" ht="17.25" customHeight="1">
      <c r="A25" s="1">
        <v>349</v>
      </c>
      <c r="B25" s="1" t="s">
        <v>13</v>
      </c>
      <c r="C25" s="4" t="s">
        <v>50</v>
      </c>
      <c r="D25" s="32">
        <v>200</v>
      </c>
      <c r="E25" s="1">
        <v>7.02</v>
      </c>
      <c r="F25" s="2">
        <v>0.6</v>
      </c>
      <c r="G25" s="2">
        <v>0.09</v>
      </c>
      <c r="H25" s="2">
        <v>32.01</v>
      </c>
      <c r="I25" s="2">
        <v>132.80000000000001</v>
      </c>
      <c r="J25" s="49"/>
      <c r="K25" s="2">
        <v>32.479999999999997</v>
      </c>
      <c r="L25" s="2">
        <v>17.46</v>
      </c>
      <c r="M25" s="2">
        <v>23.44</v>
      </c>
      <c r="N25" s="2">
        <v>0.7</v>
      </c>
      <c r="O25" s="2">
        <v>0</v>
      </c>
      <c r="P25" s="2">
        <v>0.02</v>
      </c>
      <c r="Q25" s="2">
        <v>0.26</v>
      </c>
      <c r="R25" s="2">
        <v>0.73</v>
      </c>
    </row>
    <row r="26" spans="1:18" ht="18" customHeight="1">
      <c r="A26" s="1"/>
      <c r="B26" s="1" t="s">
        <v>14</v>
      </c>
      <c r="C26" s="4" t="s">
        <v>84</v>
      </c>
      <c r="D26" s="32">
        <v>40</v>
      </c>
      <c r="E26" s="2">
        <v>2.93</v>
      </c>
      <c r="F26" s="2">
        <f>1.68*40/30</f>
        <v>2.2400000000000002</v>
      </c>
      <c r="G26" s="2">
        <f>0.33*40/30</f>
        <v>0.44000000000000006</v>
      </c>
      <c r="H26" s="2">
        <f>14.82*40/30</f>
        <v>19.759999999999998</v>
      </c>
      <c r="I26" s="2">
        <f>68.97*40/30</f>
        <v>91.960000000000008</v>
      </c>
      <c r="J26" s="49"/>
      <c r="K26" s="2">
        <f>6.9*40/30</f>
        <v>9.1999999999999993</v>
      </c>
      <c r="L26" s="2">
        <f>7.5*40/30</f>
        <v>10</v>
      </c>
      <c r="M26" s="2">
        <f>31.8*40/30</f>
        <v>42.4</v>
      </c>
      <c r="N26" s="2">
        <f>0.93*40/30</f>
        <v>1.24</v>
      </c>
      <c r="O26" s="2">
        <v>0</v>
      </c>
      <c r="P26" s="2">
        <f>0.03*40/30</f>
        <v>0.04</v>
      </c>
      <c r="Q26" s="2">
        <v>0</v>
      </c>
      <c r="R26" s="2">
        <v>0</v>
      </c>
    </row>
    <row r="27" spans="1:18" ht="18" customHeight="1">
      <c r="A27" s="1"/>
      <c r="B27" s="1" t="s">
        <v>15</v>
      </c>
      <c r="C27" s="31" t="s">
        <v>70</v>
      </c>
      <c r="D27" s="32">
        <v>70</v>
      </c>
      <c r="E27" s="35">
        <v>5.13</v>
      </c>
      <c r="F27" s="35">
        <f>2.37*70/30</f>
        <v>5.53</v>
      </c>
      <c r="G27" s="35">
        <f>0.3*70/30</f>
        <v>0.7</v>
      </c>
      <c r="H27" s="35">
        <f>14.49*70/30</f>
        <v>33.81</v>
      </c>
      <c r="I27" s="35">
        <f>70.14*70/30</f>
        <v>163.66</v>
      </c>
      <c r="J27" s="69"/>
      <c r="K27" s="35">
        <f>6.9*70/30</f>
        <v>16.100000000000001</v>
      </c>
      <c r="L27" s="35">
        <f>9.9*70/30</f>
        <v>23.1</v>
      </c>
      <c r="M27" s="35">
        <f>26.1*70/30</f>
        <v>60.9</v>
      </c>
      <c r="N27" s="35">
        <f>0.33*70/30</f>
        <v>0.77</v>
      </c>
      <c r="O27" s="35">
        <v>0</v>
      </c>
      <c r="P27" s="35">
        <f>0.03*70/30</f>
        <v>7.0000000000000007E-2</v>
      </c>
      <c r="Q27" s="35">
        <v>0</v>
      </c>
      <c r="R27" s="35">
        <v>0</v>
      </c>
    </row>
    <row r="28" spans="1:18" ht="18" customHeight="1">
      <c r="A28" s="1">
        <v>386</v>
      </c>
      <c r="B28" s="1" t="s">
        <v>68</v>
      </c>
      <c r="C28" s="27" t="s">
        <v>81</v>
      </c>
      <c r="D28" s="1">
        <v>100</v>
      </c>
      <c r="E28" s="2">
        <v>15.45</v>
      </c>
      <c r="F28" s="2">
        <v>3</v>
      </c>
      <c r="G28" s="2">
        <v>1</v>
      </c>
      <c r="H28" s="2">
        <v>4.2</v>
      </c>
      <c r="I28" s="2">
        <v>40</v>
      </c>
      <c r="J28" s="2">
        <v>40</v>
      </c>
      <c r="K28" s="2">
        <v>124</v>
      </c>
      <c r="L28" s="2">
        <v>14</v>
      </c>
      <c r="M28" s="2">
        <v>92</v>
      </c>
      <c r="N28" s="2">
        <v>0.1</v>
      </c>
      <c r="O28" s="2">
        <v>0</v>
      </c>
      <c r="P28" s="2">
        <v>0.03</v>
      </c>
      <c r="Q28" s="2">
        <v>0.1</v>
      </c>
      <c r="R28" s="2">
        <v>0.3</v>
      </c>
    </row>
    <row r="29" spans="1:18" ht="18" customHeight="1">
      <c r="A29" s="114" t="s">
        <v>11</v>
      </c>
      <c r="B29" s="114"/>
      <c r="C29" s="114"/>
      <c r="D29" s="38">
        <v>1075</v>
      </c>
      <c r="E29" s="61">
        <f t="shared" ref="E29:R29" si="2">SUM(E22:E28)</f>
        <v>165.37</v>
      </c>
      <c r="F29" s="61">
        <f t="shared" si="2"/>
        <v>46.42</v>
      </c>
      <c r="G29" s="61">
        <f t="shared" si="2"/>
        <v>38.905000000000001</v>
      </c>
      <c r="H29" s="61">
        <f t="shared" si="2"/>
        <v>151.40499999999997</v>
      </c>
      <c r="I29" s="61">
        <f t="shared" si="2"/>
        <v>1146.1450000000002</v>
      </c>
      <c r="J29" s="61">
        <f t="shared" si="2"/>
        <v>40</v>
      </c>
      <c r="K29" s="61">
        <f t="shared" si="2"/>
        <v>337.36749999999995</v>
      </c>
      <c r="L29" s="61">
        <f t="shared" si="2"/>
        <v>179.88499999999999</v>
      </c>
      <c r="M29" s="61">
        <f t="shared" si="2"/>
        <v>471.96499999999992</v>
      </c>
      <c r="N29" s="61">
        <f t="shared" si="2"/>
        <v>8.3350000000000009</v>
      </c>
      <c r="O29" s="61">
        <f t="shared" si="2"/>
        <v>1</v>
      </c>
      <c r="P29" s="61">
        <f t="shared" si="2"/>
        <v>12.309999999999999</v>
      </c>
      <c r="Q29" s="61">
        <f t="shared" si="2"/>
        <v>8.6849999999999987</v>
      </c>
      <c r="R29" s="61">
        <f t="shared" si="2"/>
        <v>61.667499999999997</v>
      </c>
    </row>
    <row r="30" spans="1:18" ht="18" customHeight="1">
      <c r="A30" s="113" t="s">
        <v>17</v>
      </c>
      <c r="B30" s="113"/>
      <c r="C30" s="113"/>
      <c r="D30" s="113"/>
      <c r="E30" s="13">
        <f>E18+E29</f>
        <v>247.20000000000002</v>
      </c>
      <c r="F30" s="13">
        <f>F18+F29</f>
        <v>66.654761904761912</v>
      </c>
      <c r="G30" s="13">
        <f>G18+G29</f>
        <v>66.127380952380946</v>
      </c>
      <c r="H30" s="13">
        <f>H18+H29</f>
        <v>255.86595238095236</v>
      </c>
      <c r="I30" s="13">
        <f>I18+I29</f>
        <v>1883.3097619047621</v>
      </c>
      <c r="J30" s="49"/>
      <c r="K30" s="13">
        <f t="shared" ref="K30:R30" si="3">K18+K29</f>
        <v>834.84130952380951</v>
      </c>
      <c r="L30" s="13">
        <f t="shared" si="3"/>
        <v>269.52261904761906</v>
      </c>
      <c r="M30" s="13">
        <f t="shared" si="3"/>
        <v>934.37023809523794</v>
      </c>
      <c r="N30" s="13">
        <f t="shared" si="3"/>
        <v>12.017380952380954</v>
      </c>
      <c r="O30" s="13">
        <f t="shared" si="3"/>
        <v>139.67380952380952</v>
      </c>
      <c r="P30" s="13">
        <f t="shared" si="3"/>
        <v>12.679047619047617</v>
      </c>
      <c r="Q30" s="13">
        <f t="shared" si="3"/>
        <v>10.729761904761904</v>
      </c>
      <c r="R30" s="13">
        <f t="shared" si="3"/>
        <v>64.352738095238095</v>
      </c>
    </row>
    <row r="31" spans="1:18" ht="15" customHeight="1">
      <c r="A31" s="16"/>
      <c r="B31" s="16"/>
      <c r="C31" s="16"/>
      <c r="D31" s="16"/>
      <c r="E31" s="18"/>
      <c r="F31" s="19"/>
      <c r="G31" s="19"/>
      <c r="H31" s="19"/>
      <c r="I31" s="19"/>
      <c r="J31" s="20"/>
      <c r="K31" s="19"/>
      <c r="L31" s="19"/>
      <c r="M31" s="19"/>
      <c r="N31" s="19"/>
      <c r="O31" s="19"/>
      <c r="P31" s="19"/>
      <c r="Q31" s="19"/>
      <c r="R31" s="19"/>
    </row>
    <row r="32" spans="1:18" ht="15" customHeight="1">
      <c r="A32" s="16"/>
      <c r="B32" s="16"/>
      <c r="C32" s="16"/>
      <c r="D32" s="16"/>
      <c r="E32" s="18"/>
      <c r="F32" s="19"/>
      <c r="G32" s="19"/>
      <c r="H32" s="19"/>
      <c r="I32" s="19"/>
      <c r="J32" s="20"/>
      <c r="K32" s="19"/>
      <c r="L32" s="19"/>
      <c r="M32" s="19"/>
      <c r="N32" s="19"/>
      <c r="O32" s="19"/>
      <c r="P32" s="19"/>
      <c r="Q32" s="19"/>
      <c r="R32" s="19"/>
    </row>
    <row r="33" spans="1:34" ht="15" customHeight="1">
      <c r="A33" s="16"/>
      <c r="B33" s="16"/>
      <c r="C33" s="16"/>
      <c r="D33" s="16"/>
      <c r="E33" s="18"/>
      <c r="F33" s="19"/>
      <c r="G33" s="19"/>
      <c r="H33" s="19"/>
      <c r="I33" s="19"/>
      <c r="J33" s="20"/>
      <c r="K33" s="19"/>
      <c r="L33" s="19"/>
      <c r="M33" s="19"/>
      <c r="N33" s="19"/>
      <c r="O33" s="19"/>
      <c r="P33" s="19"/>
      <c r="Q33" s="19"/>
      <c r="R33" s="19"/>
    </row>
    <row r="34" spans="1:34" ht="15" customHeight="1">
      <c r="A34" s="98" t="s">
        <v>37</v>
      </c>
      <c r="B34" s="98"/>
      <c r="C34" s="98"/>
      <c r="D34" s="16"/>
      <c r="E34" s="18"/>
      <c r="F34" s="19"/>
      <c r="G34" s="19"/>
      <c r="H34" s="19"/>
      <c r="I34" s="19"/>
      <c r="J34" s="20"/>
      <c r="K34" s="19"/>
      <c r="L34" s="19"/>
      <c r="M34" s="102" t="s">
        <v>114</v>
      </c>
      <c r="N34" s="102"/>
      <c r="O34" s="102"/>
      <c r="P34" s="102"/>
      <c r="Q34" s="102"/>
      <c r="R34" s="102"/>
    </row>
    <row r="35" spans="1:34" ht="15" customHeight="1">
      <c r="A35" s="99" t="s">
        <v>49</v>
      </c>
      <c r="B35" s="99"/>
      <c r="C35" s="99"/>
      <c r="D35" s="16"/>
      <c r="E35" s="18"/>
      <c r="F35" s="19"/>
      <c r="G35" s="19"/>
      <c r="H35" s="19"/>
      <c r="I35" s="19"/>
      <c r="J35" s="20"/>
      <c r="K35" s="19"/>
      <c r="L35" s="19"/>
      <c r="M35" s="103" t="s">
        <v>122</v>
      </c>
      <c r="N35" s="103"/>
      <c r="O35" s="103"/>
      <c r="P35" s="103"/>
      <c r="Q35" s="103"/>
      <c r="R35" s="103"/>
    </row>
    <row r="36" spans="1:34" ht="15" customHeight="1">
      <c r="A36" s="100" t="s">
        <v>111</v>
      </c>
      <c r="B36" s="100"/>
      <c r="C36" s="100"/>
      <c r="D36" s="16"/>
      <c r="E36" s="18"/>
      <c r="F36" s="19"/>
      <c r="G36" s="19"/>
      <c r="H36" s="19"/>
      <c r="I36" s="19"/>
      <c r="J36" s="20"/>
      <c r="K36" s="19"/>
      <c r="L36" s="19"/>
      <c r="M36" s="103" t="s">
        <v>117</v>
      </c>
      <c r="N36" s="103"/>
      <c r="O36" s="103"/>
      <c r="P36" s="103"/>
      <c r="Q36" s="103"/>
      <c r="R36" s="103"/>
    </row>
    <row r="37" spans="1:34" ht="15" customHeight="1">
      <c r="A37" s="101" t="s">
        <v>110</v>
      </c>
      <c r="B37" s="101"/>
      <c r="C37" s="101"/>
      <c r="D37" s="16"/>
      <c r="E37" s="18"/>
      <c r="F37" s="19"/>
      <c r="G37" s="19"/>
      <c r="H37" s="19"/>
      <c r="I37" s="19"/>
      <c r="J37" s="20"/>
      <c r="K37" s="19"/>
      <c r="L37" s="19"/>
      <c r="M37" s="104" t="s">
        <v>123</v>
      </c>
      <c r="N37" s="104"/>
      <c r="O37" s="104"/>
      <c r="P37" s="104"/>
      <c r="Q37" s="104"/>
      <c r="R37" s="104"/>
    </row>
    <row r="38" spans="1:34" ht="20.25" customHeight="1">
      <c r="A38" s="95" t="s">
        <v>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34" ht="15" customHeight="1">
      <c r="A39" s="96" t="s">
        <v>6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  <row r="40" spans="1:34" ht="15" customHeight="1">
      <c r="A40" s="97" t="s">
        <v>101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</row>
    <row r="41" spans="1:34" ht="18" customHeight="1">
      <c r="A41" s="120" t="s">
        <v>38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1:34" ht="18" customHeight="1">
      <c r="A42" s="115" t="s">
        <v>4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:34" ht="18" customHeight="1">
      <c r="A43" s="112" t="s">
        <v>26</v>
      </c>
      <c r="B43" s="108" t="s">
        <v>0</v>
      </c>
      <c r="C43" s="112" t="s">
        <v>35</v>
      </c>
      <c r="D43" s="108" t="s">
        <v>72</v>
      </c>
      <c r="E43" s="108" t="s">
        <v>2</v>
      </c>
      <c r="F43" s="112" t="s">
        <v>58</v>
      </c>
      <c r="G43" s="112" t="s">
        <v>59</v>
      </c>
      <c r="H43" s="112" t="s">
        <v>60</v>
      </c>
      <c r="I43" s="108" t="s">
        <v>3</v>
      </c>
      <c r="J43" s="15"/>
      <c r="K43" s="8" t="s">
        <v>61</v>
      </c>
      <c r="L43" s="8"/>
      <c r="M43" s="8"/>
      <c r="N43" s="8"/>
      <c r="O43" s="108" t="s">
        <v>62</v>
      </c>
      <c r="P43" s="108"/>
      <c r="Q43" s="108"/>
      <c r="R43" s="108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1:34" ht="15" customHeight="1">
      <c r="A44" s="112"/>
      <c r="B44" s="108"/>
      <c r="C44" s="112"/>
      <c r="D44" s="108"/>
      <c r="E44" s="108"/>
      <c r="F44" s="112"/>
      <c r="G44" s="112"/>
      <c r="H44" s="112"/>
      <c r="I44" s="108"/>
      <c r="J44" s="15"/>
      <c r="K44" s="82" t="s">
        <v>27</v>
      </c>
      <c r="L44" s="83" t="s">
        <v>28</v>
      </c>
      <c r="M44" s="83" t="s">
        <v>29</v>
      </c>
      <c r="N44" s="83" t="s">
        <v>30</v>
      </c>
      <c r="O44" s="83" t="s">
        <v>31</v>
      </c>
      <c r="P44" s="83" t="s">
        <v>67</v>
      </c>
      <c r="Q44" s="83" t="s">
        <v>33</v>
      </c>
      <c r="R44" s="83" t="s">
        <v>34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</row>
    <row r="45" spans="1:34" ht="18" customHeight="1">
      <c r="A45" s="28">
        <v>71</v>
      </c>
      <c r="B45" s="1">
        <v>1</v>
      </c>
      <c r="C45" s="5" t="s">
        <v>76</v>
      </c>
      <c r="D45" s="32">
        <v>100</v>
      </c>
      <c r="E45" s="2">
        <v>27.14</v>
      </c>
      <c r="F45" s="68">
        <v>1.2</v>
      </c>
      <c r="G45" s="68">
        <v>0.2</v>
      </c>
      <c r="H45" s="68">
        <v>4.5999999999999996</v>
      </c>
      <c r="I45" s="2">
        <v>26</v>
      </c>
      <c r="J45" s="70"/>
      <c r="K45" s="2">
        <v>14</v>
      </c>
      <c r="L45" s="2">
        <v>20</v>
      </c>
      <c r="M45" s="2">
        <v>0</v>
      </c>
      <c r="N45" s="2">
        <v>0.8</v>
      </c>
      <c r="O45" s="2">
        <v>0</v>
      </c>
      <c r="P45" s="2">
        <v>0</v>
      </c>
      <c r="Q45" s="2">
        <v>0</v>
      </c>
      <c r="R45" s="2">
        <v>17.5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</row>
    <row r="46" spans="1:34" ht="18" customHeight="1">
      <c r="A46" s="1">
        <v>291</v>
      </c>
      <c r="B46" s="1" t="s">
        <v>8</v>
      </c>
      <c r="C46" s="4" t="s">
        <v>120</v>
      </c>
      <c r="D46" s="1">
        <v>280</v>
      </c>
      <c r="E46" s="2">
        <v>64.13</v>
      </c>
      <c r="F46" s="2">
        <v>33.6</v>
      </c>
      <c r="G46" s="2">
        <v>42.82</v>
      </c>
      <c r="H46" s="1">
        <v>54.37</v>
      </c>
      <c r="I46" s="2">
        <v>737.56</v>
      </c>
      <c r="J46" s="27"/>
      <c r="K46" s="1">
        <v>72.680000000000007</v>
      </c>
      <c r="L46" s="1">
        <v>76.42</v>
      </c>
      <c r="M46" s="2">
        <v>321.18</v>
      </c>
      <c r="N46" s="2">
        <v>3.62</v>
      </c>
      <c r="O46" s="1">
        <v>77.349999999999994</v>
      </c>
      <c r="P46" s="74">
        <v>0.03</v>
      </c>
      <c r="Q46" s="74">
        <v>0</v>
      </c>
      <c r="R46" s="1">
        <v>1.63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</row>
    <row r="47" spans="1:34" ht="18" customHeight="1">
      <c r="A47" s="28"/>
      <c r="B47" s="1" t="s">
        <v>9</v>
      </c>
      <c r="C47" s="27" t="s">
        <v>71</v>
      </c>
      <c r="D47" s="1">
        <v>40</v>
      </c>
      <c r="E47" s="2">
        <v>2.93</v>
      </c>
      <c r="F47" s="2">
        <v>2.4</v>
      </c>
      <c r="G47" s="2">
        <v>0.4</v>
      </c>
      <c r="H47" s="2">
        <v>12.6</v>
      </c>
      <c r="I47" s="2">
        <v>63.6</v>
      </c>
      <c r="J47" s="49"/>
      <c r="K47" s="2">
        <v>6.9</v>
      </c>
      <c r="L47" s="2">
        <v>9.9</v>
      </c>
      <c r="M47" s="2">
        <v>26.1</v>
      </c>
      <c r="N47" s="2">
        <v>0.6</v>
      </c>
      <c r="O47" s="74">
        <v>0</v>
      </c>
      <c r="P47" s="2">
        <v>0.1</v>
      </c>
      <c r="Q47" s="2">
        <v>0.5</v>
      </c>
      <c r="R47" s="74">
        <v>0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</row>
    <row r="48" spans="1:34" ht="18" customHeight="1">
      <c r="A48" s="1">
        <v>376</v>
      </c>
      <c r="B48" s="1" t="s">
        <v>13</v>
      </c>
      <c r="C48" s="27" t="s">
        <v>16</v>
      </c>
      <c r="D48" s="1">
        <v>200</v>
      </c>
      <c r="E48" s="2">
        <v>1.89</v>
      </c>
      <c r="F48" s="2">
        <v>0.1</v>
      </c>
      <c r="G48" s="2">
        <v>0</v>
      </c>
      <c r="H48" s="2">
        <v>15</v>
      </c>
      <c r="I48" s="2">
        <v>60</v>
      </c>
      <c r="J48" s="49"/>
      <c r="K48" s="2">
        <v>5</v>
      </c>
      <c r="L48" s="2">
        <v>0</v>
      </c>
      <c r="M48" s="2">
        <v>0</v>
      </c>
      <c r="N48" s="2">
        <v>2</v>
      </c>
      <c r="O48" s="74">
        <v>0</v>
      </c>
      <c r="P48" s="74">
        <v>0</v>
      </c>
      <c r="Q48" s="74">
        <v>0</v>
      </c>
      <c r="R48" s="74">
        <v>0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</row>
    <row r="49" spans="1:34" ht="18" customHeight="1">
      <c r="A49" s="114" t="s">
        <v>11</v>
      </c>
      <c r="B49" s="114"/>
      <c r="C49" s="114"/>
      <c r="D49" s="36">
        <f>SUM(D45:D48)</f>
        <v>620</v>
      </c>
      <c r="E49" s="13">
        <f>SUM(E45:E48)</f>
        <v>96.09</v>
      </c>
      <c r="F49" s="13">
        <v>16.2</v>
      </c>
      <c r="G49" s="13">
        <v>23.299999999999997</v>
      </c>
      <c r="H49" s="13">
        <v>95.5</v>
      </c>
      <c r="I49" s="13">
        <v>656.40000000000009</v>
      </c>
      <c r="J49" s="49"/>
      <c r="K49" s="13">
        <v>311.5</v>
      </c>
      <c r="L49" s="13">
        <v>61.599999999999994</v>
      </c>
      <c r="M49" s="13">
        <v>300.7</v>
      </c>
      <c r="N49" s="13">
        <v>2</v>
      </c>
      <c r="O49" s="13">
        <f>SUM(O45:O48)</f>
        <v>77.349999999999994</v>
      </c>
      <c r="P49" s="13">
        <f>SUM(P45:P48)</f>
        <v>0.13</v>
      </c>
      <c r="Q49" s="13">
        <f>SUM(Q45:Q48)</f>
        <v>0.5</v>
      </c>
      <c r="R49" s="13">
        <f>SUM(R45:R48)</f>
        <v>19.13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</row>
    <row r="50" spans="1:34" ht="18" customHeight="1">
      <c r="A50" s="115" t="s">
        <v>12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</row>
    <row r="51" spans="1:34" ht="18" customHeight="1">
      <c r="A51" s="112" t="s">
        <v>26</v>
      </c>
      <c r="B51" s="108" t="s">
        <v>0</v>
      </c>
      <c r="C51" s="112" t="s">
        <v>35</v>
      </c>
      <c r="D51" s="108" t="s">
        <v>69</v>
      </c>
      <c r="E51" s="108" t="s">
        <v>2</v>
      </c>
      <c r="F51" s="112" t="s">
        <v>58</v>
      </c>
      <c r="G51" s="112" t="s">
        <v>59</v>
      </c>
      <c r="H51" s="112" t="s">
        <v>60</v>
      </c>
      <c r="I51" s="108" t="s">
        <v>3</v>
      </c>
      <c r="J51" s="15"/>
      <c r="K51" s="8" t="s">
        <v>61</v>
      </c>
      <c r="L51" s="8"/>
      <c r="M51" s="8"/>
      <c r="N51" s="8"/>
      <c r="O51" s="108" t="s">
        <v>62</v>
      </c>
      <c r="P51" s="108"/>
      <c r="Q51" s="108"/>
      <c r="R51" s="108"/>
    </row>
    <row r="52" spans="1:34" ht="15" customHeight="1">
      <c r="A52" s="112"/>
      <c r="B52" s="108"/>
      <c r="C52" s="112"/>
      <c r="D52" s="108"/>
      <c r="E52" s="108"/>
      <c r="F52" s="112"/>
      <c r="G52" s="112"/>
      <c r="H52" s="112"/>
      <c r="I52" s="108"/>
      <c r="J52" s="15"/>
      <c r="K52" s="82" t="s">
        <v>27</v>
      </c>
      <c r="L52" s="83" t="s">
        <v>28</v>
      </c>
      <c r="M52" s="83" t="s">
        <v>29</v>
      </c>
      <c r="N52" s="83" t="s">
        <v>30</v>
      </c>
      <c r="O52" s="83" t="s">
        <v>31</v>
      </c>
      <c r="P52" s="83" t="s">
        <v>67</v>
      </c>
      <c r="Q52" s="83" t="s">
        <v>33</v>
      </c>
      <c r="R52" s="83" t="s">
        <v>34</v>
      </c>
    </row>
    <row r="53" spans="1:34" ht="18" customHeight="1">
      <c r="A53" s="28">
        <v>71</v>
      </c>
      <c r="B53" s="1" t="s">
        <v>7</v>
      </c>
      <c r="C53" s="5" t="s">
        <v>77</v>
      </c>
      <c r="D53" s="1">
        <v>100</v>
      </c>
      <c r="E53" s="2">
        <v>18.940000000000001</v>
      </c>
      <c r="F53" s="84">
        <v>0.8</v>
      </c>
      <c r="G53" s="84">
        <v>0</v>
      </c>
      <c r="H53" s="84">
        <v>3.3</v>
      </c>
      <c r="I53" s="2">
        <v>16</v>
      </c>
      <c r="J53" s="70"/>
      <c r="K53" s="2">
        <v>23</v>
      </c>
      <c r="L53" s="2">
        <v>0</v>
      </c>
      <c r="M53" s="2">
        <v>0</v>
      </c>
      <c r="N53" s="2">
        <v>0.5</v>
      </c>
      <c r="O53" s="2">
        <v>0</v>
      </c>
      <c r="P53" s="2">
        <v>0</v>
      </c>
      <c r="Q53" s="2">
        <v>0</v>
      </c>
      <c r="R53" s="2">
        <v>5</v>
      </c>
    </row>
    <row r="54" spans="1:34" ht="28.5" customHeight="1">
      <c r="A54" s="1">
        <v>82</v>
      </c>
      <c r="B54" s="1" t="s">
        <v>8</v>
      </c>
      <c r="C54" s="5" t="s">
        <v>115</v>
      </c>
      <c r="D54" s="1">
        <v>250</v>
      </c>
      <c r="E54" s="2">
        <v>13.46</v>
      </c>
      <c r="F54" s="2">
        <v>1.8</v>
      </c>
      <c r="G54" s="2">
        <v>4.9000000000000004</v>
      </c>
      <c r="H54" s="2">
        <v>15.2</v>
      </c>
      <c r="I54" s="2">
        <v>112.3</v>
      </c>
      <c r="J54" s="49"/>
      <c r="K54" s="2">
        <v>85.9</v>
      </c>
      <c r="L54" s="2">
        <v>10.6</v>
      </c>
      <c r="M54" s="2">
        <v>21.8</v>
      </c>
      <c r="N54" s="2">
        <v>0.9</v>
      </c>
      <c r="O54" s="2">
        <v>1</v>
      </c>
      <c r="P54" s="2">
        <v>5</v>
      </c>
      <c r="Q54" s="2">
        <v>0.3</v>
      </c>
      <c r="R54" s="2">
        <v>12.9</v>
      </c>
    </row>
    <row r="55" spans="1:34" ht="18" customHeight="1">
      <c r="A55" s="1">
        <v>234</v>
      </c>
      <c r="B55" s="1" t="s">
        <v>9</v>
      </c>
      <c r="C55" s="6" t="s">
        <v>52</v>
      </c>
      <c r="D55" s="32" t="s">
        <v>95</v>
      </c>
      <c r="E55" s="2">
        <v>37.799999999999997</v>
      </c>
      <c r="F55" s="2">
        <v>14.8</v>
      </c>
      <c r="G55" s="2">
        <v>18.8</v>
      </c>
      <c r="H55" s="2">
        <v>11.6</v>
      </c>
      <c r="I55" s="2">
        <v>274</v>
      </c>
      <c r="J55" s="71"/>
      <c r="K55" s="2">
        <v>139.30000000000001</v>
      </c>
      <c r="L55" s="2">
        <v>0</v>
      </c>
      <c r="M55" s="2">
        <v>0</v>
      </c>
      <c r="N55" s="2">
        <v>1</v>
      </c>
      <c r="O55" s="2">
        <v>0</v>
      </c>
      <c r="P55" s="2">
        <v>0.2</v>
      </c>
      <c r="Q55" s="2">
        <v>0</v>
      </c>
      <c r="R55" s="2">
        <v>6.8</v>
      </c>
    </row>
    <row r="56" spans="1:34" ht="18" customHeight="1">
      <c r="A56" s="1">
        <v>142</v>
      </c>
      <c r="B56" s="1" t="s">
        <v>13</v>
      </c>
      <c r="C56" s="45" t="s">
        <v>63</v>
      </c>
      <c r="D56" s="1" t="s">
        <v>99</v>
      </c>
      <c r="E56" s="2">
        <v>23.51</v>
      </c>
      <c r="F56" s="2">
        <v>3.6</v>
      </c>
      <c r="G56" s="2">
        <v>9.5399999999999991</v>
      </c>
      <c r="H56" s="2">
        <v>35.76</v>
      </c>
      <c r="I56" s="2">
        <v>243.36</v>
      </c>
      <c r="J56" s="49"/>
      <c r="K56" s="2">
        <v>35.76</v>
      </c>
      <c r="L56" s="2">
        <v>0</v>
      </c>
      <c r="M56" s="2">
        <v>0</v>
      </c>
      <c r="N56" s="2">
        <v>1.92</v>
      </c>
      <c r="O56" s="2">
        <v>0</v>
      </c>
      <c r="P56" s="2">
        <v>0.48</v>
      </c>
      <c r="Q56" s="2">
        <v>0</v>
      </c>
      <c r="R56" s="2">
        <v>43.08</v>
      </c>
    </row>
    <row r="57" spans="1:34" ht="19.5" customHeight="1">
      <c r="A57" s="1"/>
      <c r="B57" s="1" t="s">
        <v>14</v>
      </c>
      <c r="C57" s="4" t="s">
        <v>57</v>
      </c>
      <c r="D57" s="1">
        <v>200</v>
      </c>
      <c r="E57" s="2">
        <v>14</v>
      </c>
      <c r="F57" s="2">
        <v>0.2</v>
      </c>
      <c r="G57" s="2">
        <v>0</v>
      </c>
      <c r="H57" s="2">
        <v>3.9</v>
      </c>
      <c r="I57" s="2">
        <v>16</v>
      </c>
      <c r="J57" s="71"/>
      <c r="K57" s="2">
        <v>0.24</v>
      </c>
      <c r="L57" s="2">
        <v>0.2</v>
      </c>
      <c r="M57" s="2">
        <v>0.5</v>
      </c>
      <c r="N57" s="2">
        <v>7</v>
      </c>
      <c r="O57" s="2">
        <v>0</v>
      </c>
      <c r="P57" s="2">
        <v>0.1</v>
      </c>
      <c r="Q57" s="2">
        <v>0</v>
      </c>
      <c r="R57" s="2">
        <v>6</v>
      </c>
    </row>
    <row r="58" spans="1:34" ht="19.5" customHeight="1">
      <c r="A58" s="1"/>
      <c r="B58" s="1" t="s">
        <v>15</v>
      </c>
      <c r="C58" s="4" t="s">
        <v>84</v>
      </c>
      <c r="D58" s="32">
        <v>40</v>
      </c>
      <c r="E58" s="2">
        <v>2.93</v>
      </c>
      <c r="F58" s="2">
        <v>2.2400000000000002</v>
      </c>
      <c r="G58" s="2">
        <v>0.44000000000000006</v>
      </c>
      <c r="H58" s="2">
        <v>19.759999999999998</v>
      </c>
      <c r="I58" s="2">
        <v>91.960000000000008</v>
      </c>
      <c r="J58" s="71"/>
      <c r="K58" s="2">
        <v>9.1999999999999993</v>
      </c>
      <c r="L58" s="2">
        <v>10</v>
      </c>
      <c r="M58" s="2">
        <v>42.4</v>
      </c>
      <c r="N58" s="2">
        <v>1.24</v>
      </c>
      <c r="O58" s="2">
        <v>0</v>
      </c>
      <c r="P58" s="2">
        <v>0.04</v>
      </c>
      <c r="Q58" s="2">
        <v>0</v>
      </c>
      <c r="R58" s="2">
        <v>0</v>
      </c>
    </row>
    <row r="59" spans="1:34" ht="19.5" customHeight="1">
      <c r="A59" s="1"/>
      <c r="B59" s="1" t="s">
        <v>68</v>
      </c>
      <c r="C59" s="27" t="s">
        <v>70</v>
      </c>
      <c r="D59" s="32">
        <v>70</v>
      </c>
      <c r="E59" s="35">
        <v>5.13</v>
      </c>
      <c r="F59" s="2">
        <v>5.53</v>
      </c>
      <c r="G59" s="2">
        <v>0.7</v>
      </c>
      <c r="H59" s="2">
        <v>33.81</v>
      </c>
      <c r="I59" s="2">
        <v>163.66</v>
      </c>
      <c r="J59" s="49"/>
      <c r="K59" s="2">
        <v>16.100000000000001</v>
      </c>
      <c r="L59" s="2">
        <v>23.1</v>
      </c>
      <c r="M59" s="2">
        <v>60.9</v>
      </c>
      <c r="N59" s="2">
        <v>0.77</v>
      </c>
      <c r="O59" s="2">
        <v>0</v>
      </c>
      <c r="P59" s="2">
        <v>7.0000000000000007E-2</v>
      </c>
      <c r="Q59" s="2">
        <v>0</v>
      </c>
      <c r="R59" s="2">
        <v>0</v>
      </c>
    </row>
    <row r="60" spans="1:34" ht="18" customHeight="1">
      <c r="A60" s="1">
        <v>386</v>
      </c>
      <c r="B60" s="1" t="s">
        <v>80</v>
      </c>
      <c r="C60" s="27" t="s">
        <v>82</v>
      </c>
      <c r="D60" s="1">
        <v>100</v>
      </c>
      <c r="E60" s="2">
        <v>15.45</v>
      </c>
      <c r="F60" s="2">
        <v>2.7</v>
      </c>
      <c r="G60" s="2">
        <v>2.5</v>
      </c>
      <c r="H60" s="2">
        <v>10.8</v>
      </c>
      <c r="I60" s="2">
        <v>79</v>
      </c>
      <c r="J60" s="49"/>
      <c r="K60" s="2">
        <v>121</v>
      </c>
      <c r="L60" s="2">
        <v>15</v>
      </c>
      <c r="M60" s="2">
        <v>94</v>
      </c>
      <c r="N60" s="2">
        <v>0.1</v>
      </c>
      <c r="O60" s="2">
        <v>20</v>
      </c>
      <c r="P60" s="2">
        <v>4.4999999999999998E-2</v>
      </c>
      <c r="Q60" s="2">
        <v>0.1</v>
      </c>
      <c r="R60" s="2">
        <v>0.9</v>
      </c>
    </row>
    <row r="61" spans="1:34" ht="18" customHeight="1">
      <c r="A61" s="114" t="s">
        <v>11</v>
      </c>
      <c r="B61" s="114"/>
      <c r="C61" s="114"/>
      <c r="D61" s="36">
        <v>1045</v>
      </c>
      <c r="E61" s="72">
        <f t="shared" ref="E61:R61" si="4">SUM(E53:E60)</f>
        <v>131.22</v>
      </c>
      <c r="F61" s="72">
        <f t="shared" si="4"/>
        <v>31.670000000000005</v>
      </c>
      <c r="G61" s="72">
        <f t="shared" si="4"/>
        <v>36.880000000000003</v>
      </c>
      <c r="H61" s="72">
        <f t="shared" si="4"/>
        <v>134.13000000000002</v>
      </c>
      <c r="I61" s="72">
        <f t="shared" si="4"/>
        <v>996.28000000000009</v>
      </c>
      <c r="J61" s="72">
        <f t="shared" si="4"/>
        <v>0</v>
      </c>
      <c r="K61" s="72">
        <f t="shared" si="4"/>
        <v>430.50000000000006</v>
      </c>
      <c r="L61" s="72">
        <f t="shared" si="4"/>
        <v>58.9</v>
      </c>
      <c r="M61" s="72">
        <f t="shared" si="4"/>
        <v>219.6</v>
      </c>
      <c r="N61" s="72">
        <f t="shared" si="4"/>
        <v>13.43</v>
      </c>
      <c r="O61" s="72">
        <f t="shared" si="4"/>
        <v>21</v>
      </c>
      <c r="P61" s="72">
        <f t="shared" si="4"/>
        <v>5.9349999999999996</v>
      </c>
      <c r="Q61" s="72">
        <f t="shared" si="4"/>
        <v>0.4</v>
      </c>
      <c r="R61" s="72">
        <f t="shared" si="4"/>
        <v>74.680000000000007</v>
      </c>
    </row>
    <row r="62" spans="1:34" ht="18" customHeight="1">
      <c r="A62" s="113" t="s">
        <v>17</v>
      </c>
      <c r="B62" s="113"/>
      <c r="C62" s="113"/>
      <c r="D62" s="113"/>
      <c r="E62" s="13">
        <f>E49+E61</f>
        <v>227.31</v>
      </c>
      <c r="F62" s="13">
        <f>F49+F61</f>
        <v>47.870000000000005</v>
      </c>
      <c r="G62" s="13">
        <f>G49+G61</f>
        <v>60.18</v>
      </c>
      <c r="H62" s="13">
        <f>H49+H61</f>
        <v>229.63000000000002</v>
      </c>
      <c r="I62" s="13">
        <f>I49+I61</f>
        <v>1652.6800000000003</v>
      </c>
      <c r="J62" s="49"/>
      <c r="K62" s="13">
        <f t="shared" ref="K62:R62" si="5">K49+K61</f>
        <v>742</v>
      </c>
      <c r="L62" s="13">
        <f t="shared" si="5"/>
        <v>120.5</v>
      </c>
      <c r="M62" s="13">
        <f t="shared" si="5"/>
        <v>520.29999999999995</v>
      </c>
      <c r="N62" s="13">
        <f t="shared" si="5"/>
        <v>15.43</v>
      </c>
      <c r="O62" s="13">
        <f t="shared" si="5"/>
        <v>98.35</v>
      </c>
      <c r="P62" s="13">
        <f t="shared" si="5"/>
        <v>6.0649999999999995</v>
      </c>
      <c r="Q62" s="13">
        <f t="shared" si="5"/>
        <v>0.9</v>
      </c>
      <c r="R62" s="13">
        <f t="shared" si="5"/>
        <v>93.81</v>
      </c>
    </row>
    <row r="63" spans="1:34" ht="18" customHeight="1">
      <c r="A63" s="58"/>
      <c r="B63" s="58"/>
      <c r="C63" s="58"/>
      <c r="D63" s="58"/>
      <c r="E63" s="59"/>
      <c r="F63" s="59"/>
      <c r="G63" s="59"/>
      <c r="H63" s="59"/>
      <c r="I63" s="59"/>
      <c r="J63" s="56"/>
      <c r="K63" s="59"/>
      <c r="L63" s="59"/>
      <c r="M63" s="59"/>
      <c r="N63" s="59"/>
      <c r="O63" s="59"/>
      <c r="P63" s="59"/>
      <c r="Q63" s="59"/>
      <c r="R63" s="59"/>
    </row>
    <row r="64" spans="1:34" ht="15" customHeight="1">
      <c r="A64" s="16"/>
      <c r="B64" s="16"/>
      <c r="C64" s="16"/>
      <c r="D64" s="16"/>
      <c r="E64" s="17"/>
      <c r="F64" s="18"/>
      <c r="G64" s="18"/>
      <c r="H64" s="18"/>
      <c r="I64" s="18"/>
      <c r="J64" s="20"/>
      <c r="K64" s="18"/>
      <c r="L64" s="17"/>
      <c r="M64" s="18"/>
      <c r="N64" s="18"/>
      <c r="O64" s="18"/>
      <c r="P64" s="17"/>
      <c r="Q64" s="17"/>
      <c r="R64" s="17"/>
    </row>
    <row r="65" spans="1:18" ht="15" customHeight="1">
      <c r="A65" s="16"/>
      <c r="B65" s="16"/>
      <c r="C65" s="16"/>
      <c r="D65" s="16"/>
      <c r="E65" s="17"/>
      <c r="F65" s="18"/>
      <c r="G65" s="18"/>
      <c r="H65" s="18"/>
      <c r="I65" s="18"/>
      <c r="J65" s="20"/>
      <c r="K65" s="18"/>
      <c r="L65" s="17"/>
      <c r="M65" s="18"/>
      <c r="N65" s="18"/>
      <c r="O65" s="18"/>
      <c r="P65" s="17"/>
      <c r="Q65" s="17"/>
      <c r="R65" s="17"/>
    </row>
    <row r="66" spans="1:18" ht="15" customHeight="1">
      <c r="A66" s="98" t="s">
        <v>37</v>
      </c>
      <c r="B66" s="98"/>
      <c r="C66" s="98"/>
      <c r="D66" s="16"/>
      <c r="E66" s="17"/>
      <c r="F66" s="18"/>
      <c r="G66" s="18"/>
      <c r="H66" s="18"/>
      <c r="I66" s="18"/>
      <c r="J66" s="20"/>
      <c r="K66" s="18"/>
      <c r="L66" s="17"/>
      <c r="M66" s="102" t="s">
        <v>114</v>
      </c>
      <c r="N66" s="102"/>
      <c r="O66" s="102"/>
      <c r="P66" s="102"/>
      <c r="Q66" s="102"/>
      <c r="R66" s="102"/>
    </row>
    <row r="67" spans="1:18" ht="15" customHeight="1">
      <c r="A67" s="99" t="s">
        <v>49</v>
      </c>
      <c r="B67" s="99"/>
      <c r="C67" s="99"/>
      <c r="D67" s="16"/>
      <c r="E67" s="17"/>
      <c r="F67" s="18"/>
      <c r="G67" s="18"/>
      <c r="H67" s="18"/>
      <c r="I67" s="18"/>
      <c r="J67" s="20"/>
      <c r="K67" s="18"/>
      <c r="L67" s="17"/>
      <c r="M67" s="103" t="s">
        <v>122</v>
      </c>
      <c r="N67" s="103"/>
      <c r="O67" s="103"/>
      <c r="P67" s="103"/>
      <c r="Q67" s="103"/>
      <c r="R67" s="103"/>
    </row>
    <row r="68" spans="1:18" ht="15" customHeight="1">
      <c r="A68" s="100" t="s">
        <v>111</v>
      </c>
      <c r="B68" s="100"/>
      <c r="C68" s="100"/>
      <c r="D68" s="16"/>
      <c r="E68" s="17"/>
      <c r="F68" s="18"/>
      <c r="G68" s="18"/>
      <c r="H68" s="18"/>
      <c r="I68" s="18"/>
      <c r="J68" s="20"/>
      <c r="K68" s="18"/>
      <c r="L68" s="17"/>
      <c r="M68" s="103" t="s">
        <v>117</v>
      </c>
      <c r="N68" s="103"/>
      <c r="O68" s="103"/>
      <c r="P68" s="103"/>
      <c r="Q68" s="103"/>
      <c r="R68" s="103"/>
    </row>
    <row r="69" spans="1:18" ht="15" customHeight="1">
      <c r="A69" s="101" t="s">
        <v>110</v>
      </c>
      <c r="B69" s="101"/>
      <c r="C69" s="101"/>
      <c r="D69" s="16"/>
      <c r="E69" s="17"/>
      <c r="F69" s="18"/>
      <c r="G69" s="18"/>
      <c r="H69" s="18"/>
      <c r="I69" s="18"/>
      <c r="J69" s="20"/>
      <c r="K69" s="18"/>
      <c r="L69" s="17"/>
      <c r="M69" s="104" t="s">
        <v>123</v>
      </c>
      <c r="N69" s="104"/>
      <c r="O69" s="104"/>
      <c r="P69" s="104"/>
      <c r="Q69" s="104"/>
      <c r="R69" s="104"/>
    </row>
    <row r="70" spans="1:18" ht="15" customHeight="1">
      <c r="A70" s="95" t="s">
        <v>5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</row>
    <row r="71" spans="1:18" ht="15" customHeight="1">
      <c r="A71" s="96" t="s">
        <v>6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</row>
    <row r="72" spans="1:18" ht="15" customHeight="1">
      <c r="A72" s="97" t="s">
        <v>101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</row>
    <row r="73" spans="1:18" ht="18" customHeight="1">
      <c r="A73" s="109" t="s">
        <v>73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1"/>
    </row>
    <row r="74" spans="1:18" ht="18" customHeight="1">
      <c r="A74" s="115" t="s">
        <v>4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</row>
    <row r="75" spans="1:18" ht="18" customHeight="1">
      <c r="A75" s="105" t="s">
        <v>26</v>
      </c>
      <c r="B75" s="121" t="s">
        <v>0</v>
      </c>
      <c r="C75" s="105" t="s">
        <v>35</v>
      </c>
      <c r="D75" s="121" t="s">
        <v>72</v>
      </c>
      <c r="E75" s="121" t="s">
        <v>2</v>
      </c>
      <c r="F75" s="105" t="s">
        <v>58</v>
      </c>
      <c r="G75" s="105" t="s">
        <v>59</v>
      </c>
      <c r="H75" s="105" t="s">
        <v>60</v>
      </c>
      <c r="I75" s="121" t="s">
        <v>3</v>
      </c>
      <c r="J75" s="15"/>
      <c r="K75" s="8" t="s">
        <v>61</v>
      </c>
      <c r="L75" s="8"/>
      <c r="M75" s="8"/>
      <c r="N75" s="8"/>
      <c r="O75" s="135" t="s">
        <v>62</v>
      </c>
      <c r="P75" s="136"/>
      <c r="Q75" s="136"/>
      <c r="R75" s="137"/>
    </row>
    <row r="76" spans="1:18" ht="18" customHeight="1">
      <c r="A76" s="106"/>
      <c r="B76" s="122"/>
      <c r="C76" s="106"/>
      <c r="D76" s="122"/>
      <c r="E76" s="122"/>
      <c r="F76" s="106"/>
      <c r="G76" s="106"/>
      <c r="H76" s="106"/>
      <c r="I76" s="122"/>
      <c r="J76" s="15"/>
      <c r="K76" s="8"/>
      <c r="L76" s="8"/>
      <c r="M76" s="8"/>
      <c r="N76" s="8"/>
      <c r="O76" s="91"/>
      <c r="P76" s="92"/>
      <c r="Q76" s="92"/>
      <c r="R76" s="93"/>
    </row>
    <row r="77" spans="1:18" ht="15" customHeight="1">
      <c r="A77" s="107"/>
      <c r="B77" s="123"/>
      <c r="C77" s="107"/>
      <c r="D77" s="123"/>
      <c r="E77" s="123"/>
      <c r="F77" s="107"/>
      <c r="G77" s="107"/>
      <c r="H77" s="107"/>
      <c r="I77" s="123"/>
      <c r="J77" s="15"/>
      <c r="K77" s="30" t="s">
        <v>27</v>
      </c>
      <c r="L77" s="24" t="s">
        <v>28</v>
      </c>
      <c r="M77" s="24" t="s">
        <v>29</v>
      </c>
      <c r="N77" s="24" t="s">
        <v>30</v>
      </c>
      <c r="O77" s="24" t="s">
        <v>31</v>
      </c>
      <c r="P77" s="24" t="s">
        <v>67</v>
      </c>
      <c r="Q77" s="24" t="s">
        <v>33</v>
      </c>
      <c r="R77" s="24" t="s">
        <v>34</v>
      </c>
    </row>
    <row r="78" spans="1:18" ht="30" customHeight="1">
      <c r="A78" s="1">
        <v>181</v>
      </c>
      <c r="B78" s="1" t="s">
        <v>7</v>
      </c>
      <c r="C78" s="4" t="s">
        <v>94</v>
      </c>
      <c r="D78" s="32" t="s">
        <v>79</v>
      </c>
      <c r="E78" s="2">
        <v>33.020000000000003</v>
      </c>
      <c r="F78" s="2">
        <f>6.1*250/200</f>
        <v>7.625</v>
      </c>
      <c r="G78" s="2">
        <f>11.3*250/200</f>
        <v>14.125</v>
      </c>
      <c r="H78" s="2">
        <f>33.5*250/200</f>
        <v>41.875</v>
      </c>
      <c r="I78" s="2">
        <f>260*250/200</f>
        <v>325</v>
      </c>
      <c r="J78" s="49"/>
      <c r="K78" s="2">
        <f>192.2*250/200</f>
        <v>240.25</v>
      </c>
      <c r="L78" s="2">
        <f>23.5*250/200</f>
        <v>29.375</v>
      </c>
      <c r="M78" s="2">
        <f>156.1*250/200</f>
        <v>195.125</v>
      </c>
      <c r="N78" s="2">
        <f>0.3*250/200</f>
        <v>0.375</v>
      </c>
      <c r="O78" s="2">
        <f>36.7*250/200</f>
        <v>45.875</v>
      </c>
      <c r="P78" s="2">
        <f>0.1*250/200</f>
        <v>0.125</v>
      </c>
      <c r="Q78" s="2">
        <v>0</v>
      </c>
      <c r="R78" s="2">
        <f>1.1*250/200</f>
        <v>1.375</v>
      </c>
    </row>
    <row r="79" spans="1:18" ht="18.75" customHeight="1">
      <c r="A79" s="1">
        <v>209</v>
      </c>
      <c r="B79" s="1" t="s">
        <v>8</v>
      </c>
      <c r="C79" s="27" t="s">
        <v>75</v>
      </c>
      <c r="D79" s="32">
        <v>40</v>
      </c>
      <c r="E79" s="2">
        <v>15</v>
      </c>
      <c r="F79" s="2">
        <v>5.08</v>
      </c>
      <c r="G79" s="2">
        <v>4.5999999999999996</v>
      </c>
      <c r="H79" s="2">
        <v>0.28000000000000003</v>
      </c>
      <c r="I79" s="2">
        <v>63</v>
      </c>
      <c r="J79" s="27"/>
      <c r="K79" s="2">
        <v>22</v>
      </c>
      <c r="L79" s="2">
        <v>4.8</v>
      </c>
      <c r="M79" s="2">
        <v>76.8</v>
      </c>
      <c r="N79" s="2">
        <v>1</v>
      </c>
      <c r="O79" s="2">
        <v>100</v>
      </c>
      <c r="P79" s="2">
        <v>0.03</v>
      </c>
      <c r="Q79" s="2">
        <v>0.08</v>
      </c>
      <c r="R79" s="74">
        <v>0</v>
      </c>
    </row>
    <row r="80" spans="1:18" ht="18" customHeight="1">
      <c r="A80" s="1"/>
      <c r="B80" s="1" t="s">
        <v>9</v>
      </c>
      <c r="C80" s="31" t="s">
        <v>66</v>
      </c>
      <c r="D80" s="32">
        <v>50</v>
      </c>
      <c r="E80" s="35">
        <v>3.67</v>
      </c>
      <c r="F80" s="35">
        <v>3.95</v>
      </c>
      <c r="G80" s="35">
        <v>0.5</v>
      </c>
      <c r="H80" s="35">
        <v>24.15</v>
      </c>
      <c r="I80" s="35">
        <v>116.9</v>
      </c>
      <c r="J80" s="69"/>
      <c r="K80" s="35">
        <v>11.5</v>
      </c>
      <c r="L80" s="35">
        <v>16.5</v>
      </c>
      <c r="M80" s="35">
        <v>43.5</v>
      </c>
      <c r="N80" s="35">
        <v>0.55000000000000004</v>
      </c>
      <c r="O80" s="75">
        <v>0</v>
      </c>
      <c r="P80" s="35">
        <v>0.05</v>
      </c>
      <c r="Q80" s="35">
        <v>0.11</v>
      </c>
      <c r="R80" s="35">
        <v>0.12</v>
      </c>
    </row>
    <row r="81" spans="1:18" ht="18" customHeight="1">
      <c r="A81" s="1">
        <v>376</v>
      </c>
      <c r="B81" s="1" t="s">
        <v>13</v>
      </c>
      <c r="C81" s="27" t="s">
        <v>16</v>
      </c>
      <c r="D81" s="1">
        <v>200</v>
      </c>
      <c r="E81" s="2">
        <v>1.89</v>
      </c>
      <c r="F81" s="2">
        <v>0.1</v>
      </c>
      <c r="G81" s="2">
        <v>0</v>
      </c>
      <c r="H81" s="2">
        <v>15</v>
      </c>
      <c r="I81" s="2">
        <v>60</v>
      </c>
      <c r="J81" s="49"/>
      <c r="K81" s="2">
        <v>5</v>
      </c>
      <c r="L81" s="2">
        <v>0</v>
      </c>
      <c r="M81" s="2">
        <v>0</v>
      </c>
      <c r="N81" s="2">
        <v>2</v>
      </c>
      <c r="O81" s="74">
        <v>0</v>
      </c>
      <c r="P81" s="74">
        <v>0</v>
      </c>
      <c r="Q81" s="74">
        <v>0</v>
      </c>
      <c r="R81" s="74">
        <v>0</v>
      </c>
    </row>
    <row r="82" spans="1:18" ht="18" customHeight="1">
      <c r="A82" s="138" t="s">
        <v>11</v>
      </c>
      <c r="B82" s="139"/>
      <c r="C82" s="140"/>
      <c r="D82" s="36">
        <v>550</v>
      </c>
      <c r="E82" s="13">
        <f t="shared" ref="E82:R82" si="6">SUM(E78:E81)</f>
        <v>53.580000000000005</v>
      </c>
      <c r="F82" s="13">
        <f t="shared" si="6"/>
        <v>16.755000000000003</v>
      </c>
      <c r="G82" s="13">
        <f t="shared" si="6"/>
        <v>19.225000000000001</v>
      </c>
      <c r="H82" s="13">
        <f t="shared" si="6"/>
        <v>81.305000000000007</v>
      </c>
      <c r="I82" s="13">
        <f t="shared" si="6"/>
        <v>564.9</v>
      </c>
      <c r="J82" s="13">
        <f t="shared" si="6"/>
        <v>0</v>
      </c>
      <c r="K82" s="13">
        <f t="shared" si="6"/>
        <v>278.75</v>
      </c>
      <c r="L82" s="13">
        <f t="shared" si="6"/>
        <v>50.674999999999997</v>
      </c>
      <c r="M82" s="13">
        <f t="shared" si="6"/>
        <v>315.42500000000001</v>
      </c>
      <c r="N82" s="13">
        <f t="shared" si="6"/>
        <v>3.9249999999999998</v>
      </c>
      <c r="O82" s="13">
        <f t="shared" si="6"/>
        <v>145.875</v>
      </c>
      <c r="P82" s="13">
        <f t="shared" si="6"/>
        <v>0.20500000000000002</v>
      </c>
      <c r="Q82" s="13">
        <f t="shared" si="6"/>
        <v>0.19</v>
      </c>
      <c r="R82" s="13">
        <f t="shared" si="6"/>
        <v>1.4950000000000001</v>
      </c>
    </row>
    <row r="83" spans="1:18" ht="18" customHeight="1">
      <c r="A83" s="115" t="s">
        <v>12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6"/>
    </row>
    <row r="84" spans="1:18" ht="18" customHeight="1">
      <c r="A84" s="112" t="s">
        <v>26</v>
      </c>
      <c r="B84" s="108" t="s">
        <v>0</v>
      </c>
      <c r="C84" s="112" t="s">
        <v>35</v>
      </c>
      <c r="D84" s="108" t="s">
        <v>72</v>
      </c>
      <c r="E84" s="108" t="s">
        <v>2</v>
      </c>
      <c r="F84" s="105" t="s">
        <v>58</v>
      </c>
      <c r="G84" s="105" t="s">
        <v>59</v>
      </c>
      <c r="H84" s="105" t="s">
        <v>60</v>
      </c>
      <c r="I84" s="108" t="s">
        <v>3</v>
      </c>
      <c r="J84" s="15"/>
      <c r="K84" s="8" t="s">
        <v>61</v>
      </c>
      <c r="L84" s="8"/>
      <c r="M84" s="8"/>
      <c r="N84" s="8"/>
      <c r="O84" s="108" t="s">
        <v>62</v>
      </c>
      <c r="P84" s="108"/>
      <c r="Q84" s="108"/>
      <c r="R84" s="108"/>
    </row>
    <row r="85" spans="1:18" ht="15" customHeight="1">
      <c r="A85" s="112"/>
      <c r="B85" s="108"/>
      <c r="C85" s="112"/>
      <c r="D85" s="108"/>
      <c r="E85" s="108"/>
      <c r="F85" s="107"/>
      <c r="G85" s="107"/>
      <c r="H85" s="107"/>
      <c r="I85" s="108"/>
      <c r="J85" s="15"/>
      <c r="K85" s="30" t="s">
        <v>27</v>
      </c>
      <c r="L85" s="24" t="s">
        <v>28</v>
      </c>
      <c r="M85" s="24" t="s">
        <v>29</v>
      </c>
      <c r="N85" s="24" t="s">
        <v>30</v>
      </c>
      <c r="O85" s="24" t="s">
        <v>65</v>
      </c>
      <c r="P85" s="24" t="s">
        <v>32</v>
      </c>
      <c r="Q85" s="24" t="s">
        <v>33</v>
      </c>
      <c r="R85" s="24" t="s">
        <v>34</v>
      </c>
    </row>
    <row r="86" spans="1:18" ht="18" customHeight="1">
      <c r="A86" s="28">
        <v>52</v>
      </c>
      <c r="B86" s="1" t="s">
        <v>7</v>
      </c>
      <c r="C86" s="5" t="s">
        <v>78</v>
      </c>
      <c r="D86" s="1">
        <v>100</v>
      </c>
      <c r="E86" s="2">
        <v>9.6300000000000008</v>
      </c>
      <c r="F86" s="68">
        <v>1.7</v>
      </c>
      <c r="G86" s="68">
        <v>6</v>
      </c>
      <c r="H86" s="68">
        <v>11</v>
      </c>
      <c r="I86" s="2">
        <v>104</v>
      </c>
      <c r="J86" s="2"/>
      <c r="K86" s="2">
        <v>35.200000000000003</v>
      </c>
      <c r="L86" s="2">
        <v>20.8</v>
      </c>
      <c r="M86" s="2">
        <v>41</v>
      </c>
      <c r="N86" s="2">
        <v>1.3</v>
      </c>
      <c r="O86" s="2">
        <v>0</v>
      </c>
      <c r="P86" s="2">
        <v>0</v>
      </c>
      <c r="Q86" s="2">
        <v>0.2</v>
      </c>
      <c r="R86" s="2">
        <v>9.5</v>
      </c>
    </row>
    <row r="87" spans="1:18" ht="18" customHeight="1">
      <c r="A87" s="1">
        <v>108</v>
      </c>
      <c r="B87" s="1" t="s">
        <v>8</v>
      </c>
      <c r="C87" s="4" t="s">
        <v>21</v>
      </c>
      <c r="D87" s="1">
        <v>250</v>
      </c>
      <c r="E87" s="2">
        <v>13.18</v>
      </c>
      <c r="F87" s="2">
        <v>5.2</v>
      </c>
      <c r="G87" s="2">
        <v>6.3</v>
      </c>
      <c r="H87" s="2">
        <v>29</v>
      </c>
      <c r="I87" s="2">
        <v>193.5</v>
      </c>
      <c r="J87" s="49"/>
      <c r="K87" s="2">
        <v>86</v>
      </c>
      <c r="L87" s="2">
        <v>7.5</v>
      </c>
      <c r="M87" s="2">
        <v>14.7</v>
      </c>
      <c r="N87" s="2">
        <v>0.8</v>
      </c>
      <c r="O87" s="2">
        <v>1.2</v>
      </c>
      <c r="P87" s="2">
        <v>2.4</v>
      </c>
      <c r="Q87" s="2">
        <v>0.2</v>
      </c>
      <c r="R87" s="2">
        <v>1.9</v>
      </c>
    </row>
    <row r="88" spans="1:18" ht="18" customHeight="1">
      <c r="A88" s="76">
        <v>268</v>
      </c>
      <c r="B88" s="76" t="s">
        <v>9</v>
      </c>
      <c r="C88" s="77" t="s">
        <v>22</v>
      </c>
      <c r="D88" s="47">
        <v>100</v>
      </c>
      <c r="E88" s="52">
        <v>55.53</v>
      </c>
      <c r="F88" s="52">
        <v>14.8</v>
      </c>
      <c r="G88" s="52">
        <v>19.399999999999999</v>
      </c>
      <c r="H88" s="52">
        <v>22.2</v>
      </c>
      <c r="I88" s="52">
        <v>322</v>
      </c>
      <c r="J88" s="78"/>
      <c r="K88" s="52">
        <v>43.7</v>
      </c>
      <c r="L88" s="52">
        <v>32.1</v>
      </c>
      <c r="M88" s="52">
        <v>166.4</v>
      </c>
      <c r="N88" s="52">
        <v>1</v>
      </c>
      <c r="O88" s="52">
        <v>28.7</v>
      </c>
      <c r="P88" s="52">
        <v>0.1</v>
      </c>
      <c r="Q88" s="52">
        <v>0</v>
      </c>
      <c r="R88" s="52">
        <v>0.1</v>
      </c>
    </row>
    <row r="89" spans="1:18" ht="18" customHeight="1">
      <c r="A89" s="76">
        <v>321</v>
      </c>
      <c r="B89" s="76" t="s">
        <v>13</v>
      </c>
      <c r="C89" s="77" t="s">
        <v>23</v>
      </c>
      <c r="D89" s="47">
        <v>180</v>
      </c>
      <c r="E89" s="52">
        <v>21.49</v>
      </c>
      <c r="F89" s="52">
        <f>4*180/200</f>
        <v>3.6</v>
      </c>
      <c r="G89" s="52">
        <f>7.2*180/200</f>
        <v>6.48</v>
      </c>
      <c r="H89" s="52">
        <f>21.2*180/200</f>
        <v>19.079999999999998</v>
      </c>
      <c r="I89" s="52">
        <f>166*180/200</f>
        <v>149.4</v>
      </c>
      <c r="J89" s="78"/>
      <c r="K89" s="52">
        <f>93.2*180/200</f>
        <v>83.88</v>
      </c>
      <c r="L89" s="52">
        <f>30.7*180/200</f>
        <v>27.63</v>
      </c>
      <c r="M89" s="52">
        <f>62.3*180/200</f>
        <v>56.07</v>
      </c>
      <c r="N89" s="52">
        <f>1.2*180/200</f>
        <v>1.08</v>
      </c>
      <c r="O89" s="52">
        <f>0.4*180/200</f>
        <v>0.36</v>
      </c>
      <c r="P89" s="52">
        <f>19.2*180/200</f>
        <v>17.28</v>
      </c>
      <c r="Q89" s="52">
        <f>1.3*180/200</f>
        <v>1.17</v>
      </c>
      <c r="R89" s="52">
        <f>80.7*180/200</f>
        <v>72.63</v>
      </c>
    </row>
    <row r="90" spans="1:18" ht="18" customHeight="1">
      <c r="A90" s="1">
        <v>1041</v>
      </c>
      <c r="B90" s="1" t="s">
        <v>14</v>
      </c>
      <c r="C90" s="27" t="s">
        <v>54</v>
      </c>
      <c r="D90" s="1">
        <v>200</v>
      </c>
      <c r="E90" s="2">
        <v>8.36</v>
      </c>
      <c r="F90" s="2">
        <v>0.1</v>
      </c>
      <c r="G90" s="2">
        <v>0</v>
      </c>
      <c r="H90" s="2">
        <v>27.1</v>
      </c>
      <c r="I90" s="2">
        <v>108.6</v>
      </c>
      <c r="J90" s="57"/>
      <c r="K90" s="2">
        <v>23.52</v>
      </c>
      <c r="L90" s="2">
        <v>0</v>
      </c>
      <c r="M90" s="2">
        <v>0</v>
      </c>
      <c r="N90" s="2">
        <v>0.24</v>
      </c>
      <c r="O90" s="2">
        <v>0</v>
      </c>
      <c r="P90" s="2">
        <v>0.03</v>
      </c>
      <c r="Q90" s="2">
        <v>0</v>
      </c>
      <c r="R90" s="2">
        <v>12.9</v>
      </c>
    </row>
    <row r="91" spans="1:18" ht="18" customHeight="1">
      <c r="A91" s="1"/>
      <c r="B91" s="1" t="s">
        <v>15</v>
      </c>
      <c r="C91" s="27" t="s">
        <v>84</v>
      </c>
      <c r="D91" s="32">
        <v>40</v>
      </c>
      <c r="E91" s="2">
        <v>2.93</v>
      </c>
      <c r="F91" s="2">
        <v>2.2400000000000002</v>
      </c>
      <c r="G91" s="2">
        <v>0.44000000000000006</v>
      </c>
      <c r="H91" s="2">
        <v>19.759999999999998</v>
      </c>
      <c r="I91" s="2">
        <v>91.960000000000008</v>
      </c>
      <c r="J91" s="71"/>
      <c r="K91" s="2">
        <v>9.1999999999999993</v>
      </c>
      <c r="L91" s="2">
        <v>10</v>
      </c>
      <c r="M91" s="2">
        <v>42.4</v>
      </c>
      <c r="N91" s="2">
        <v>1.24</v>
      </c>
      <c r="O91" s="2">
        <v>0</v>
      </c>
      <c r="P91" s="2">
        <v>0.04</v>
      </c>
      <c r="Q91" s="2">
        <v>0</v>
      </c>
      <c r="R91" s="2">
        <v>0</v>
      </c>
    </row>
    <row r="92" spans="1:18" ht="18" customHeight="1">
      <c r="A92" s="1"/>
      <c r="B92" s="1" t="s">
        <v>68</v>
      </c>
      <c r="C92" s="31" t="s">
        <v>70</v>
      </c>
      <c r="D92" s="32">
        <v>70</v>
      </c>
      <c r="E92" s="35">
        <v>5.13</v>
      </c>
      <c r="F92" s="2">
        <v>5.53</v>
      </c>
      <c r="G92" s="2">
        <v>0.7</v>
      </c>
      <c r="H92" s="2">
        <v>33.81</v>
      </c>
      <c r="I92" s="2">
        <v>163.66</v>
      </c>
      <c r="J92" s="49"/>
      <c r="K92" s="2">
        <v>16.100000000000001</v>
      </c>
      <c r="L92" s="2">
        <v>23.1</v>
      </c>
      <c r="M92" s="2">
        <v>60.9</v>
      </c>
      <c r="N92" s="2">
        <v>0.77</v>
      </c>
      <c r="O92" s="2">
        <v>0</v>
      </c>
      <c r="P92" s="2">
        <v>7.0000000000000007E-2</v>
      </c>
      <c r="Q92" s="2">
        <v>0</v>
      </c>
      <c r="R92" s="2">
        <v>0</v>
      </c>
    </row>
    <row r="93" spans="1:18" ht="18" customHeight="1">
      <c r="A93" s="114" t="s">
        <v>11</v>
      </c>
      <c r="B93" s="114"/>
      <c r="C93" s="114"/>
      <c r="D93" s="24">
        <f>SUM(D86:D92)</f>
        <v>940</v>
      </c>
      <c r="E93" s="13">
        <f t="shared" ref="E93:R93" si="7">SUM(E86:E92)</f>
        <v>116.25</v>
      </c>
      <c r="F93" s="13">
        <f t="shared" si="7"/>
        <v>33.170000000000009</v>
      </c>
      <c r="G93" s="13">
        <f t="shared" si="7"/>
        <v>39.32</v>
      </c>
      <c r="H93" s="13">
        <f t="shared" si="7"/>
        <v>161.94999999999999</v>
      </c>
      <c r="I93" s="13">
        <f t="shared" si="7"/>
        <v>1133.1200000000001</v>
      </c>
      <c r="J93" s="13">
        <f t="shared" si="7"/>
        <v>0</v>
      </c>
      <c r="K93" s="13">
        <f t="shared" si="7"/>
        <v>297.60000000000002</v>
      </c>
      <c r="L93" s="13">
        <f t="shared" si="7"/>
        <v>121.13</v>
      </c>
      <c r="M93" s="13">
        <f t="shared" si="7"/>
        <v>381.46999999999997</v>
      </c>
      <c r="N93" s="13">
        <f t="shared" si="7"/>
        <v>6.43</v>
      </c>
      <c r="O93" s="13">
        <f t="shared" si="7"/>
        <v>30.259999999999998</v>
      </c>
      <c r="P93" s="13">
        <f t="shared" si="7"/>
        <v>19.920000000000002</v>
      </c>
      <c r="Q93" s="13">
        <f t="shared" si="7"/>
        <v>1.5699999999999998</v>
      </c>
      <c r="R93" s="13">
        <f t="shared" si="7"/>
        <v>97.03</v>
      </c>
    </row>
    <row r="94" spans="1:18" ht="18" customHeight="1">
      <c r="A94" s="113" t="s">
        <v>17</v>
      </c>
      <c r="B94" s="113"/>
      <c r="C94" s="113"/>
      <c r="D94" s="113"/>
      <c r="E94" s="13">
        <f t="shared" ref="E94:R94" si="8">E82+E93</f>
        <v>169.83</v>
      </c>
      <c r="F94" s="13">
        <f t="shared" si="8"/>
        <v>49.925000000000011</v>
      </c>
      <c r="G94" s="13">
        <f t="shared" si="8"/>
        <v>58.545000000000002</v>
      </c>
      <c r="H94" s="13">
        <f t="shared" si="8"/>
        <v>243.255</v>
      </c>
      <c r="I94" s="13">
        <f t="shared" si="8"/>
        <v>1698.02</v>
      </c>
      <c r="J94" s="13">
        <f t="shared" si="8"/>
        <v>0</v>
      </c>
      <c r="K94" s="13">
        <f t="shared" si="8"/>
        <v>576.35</v>
      </c>
      <c r="L94" s="13">
        <f t="shared" si="8"/>
        <v>171.80500000000001</v>
      </c>
      <c r="M94" s="13">
        <f t="shared" si="8"/>
        <v>696.89499999999998</v>
      </c>
      <c r="N94" s="13">
        <f t="shared" si="8"/>
        <v>10.355</v>
      </c>
      <c r="O94" s="13">
        <f t="shared" si="8"/>
        <v>176.13499999999999</v>
      </c>
      <c r="P94" s="13">
        <f t="shared" si="8"/>
        <v>20.125</v>
      </c>
      <c r="Q94" s="13">
        <f t="shared" si="8"/>
        <v>1.7599999999999998</v>
      </c>
      <c r="R94" s="13">
        <f t="shared" si="8"/>
        <v>98.525000000000006</v>
      </c>
    </row>
    <row r="95" spans="1:18">
      <c r="A95" s="16"/>
      <c r="B95" s="16"/>
      <c r="C95" s="16"/>
      <c r="D95" s="16"/>
      <c r="E95" s="17"/>
      <c r="F95" s="18"/>
      <c r="G95" s="18"/>
      <c r="H95" s="19"/>
      <c r="I95" s="19"/>
      <c r="J95" s="20"/>
      <c r="K95" s="17"/>
      <c r="L95" s="17"/>
      <c r="M95" s="17"/>
      <c r="N95" s="17"/>
      <c r="O95" s="18"/>
      <c r="P95" s="18"/>
      <c r="Q95" s="17"/>
      <c r="R95" s="18"/>
    </row>
    <row r="96" spans="1:18">
      <c r="A96" s="16"/>
      <c r="B96" s="16"/>
      <c r="C96" s="16"/>
      <c r="D96" s="16"/>
      <c r="E96" s="17"/>
      <c r="F96" s="18"/>
      <c r="G96" s="18"/>
      <c r="H96" s="19"/>
      <c r="I96" s="19"/>
      <c r="J96" s="20"/>
      <c r="K96" s="17"/>
      <c r="L96" s="17"/>
      <c r="M96" s="17"/>
      <c r="N96" s="17"/>
      <c r="O96" s="18"/>
      <c r="P96" s="18"/>
      <c r="Q96" s="17"/>
      <c r="R96" s="18"/>
    </row>
    <row r="97" spans="1:18">
      <c r="A97" s="16"/>
      <c r="B97" s="16"/>
      <c r="C97" s="16"/>
      <c r="D97" s="16"/>
      <c r="E97" s="17"/>
      <c r="F97" s="18"/>
      <c r="G97" s="18"/>
      <c r="H97" s="19"/>
      <c r="I97" s="19"/>
      <c r="J97" s="20"/>
      <c r="K97" s="17"/>
      <c r="L97" s="17"/>
      <c r="M97" s="17"/>
      <c r="N97" s="17"/>
      <c r="O97" s="18"/>
      <c r="P97" s="18"/>
      <c r="Q97" s="17"/>
      <c r="R97" s="18"/>
    </row>
    <row r="98" spans="1:18">
      <c r="A98" s="98" t="s">
        <v>37</v>
      </c>
      <c r="B98" s="98"/>
      <c r="C98" s="98"/>
      <c r="D98" s="16"/>
      <c r="E98" s="17"/>
      <c r="F98" s="18"/>
      <c r="G98" s="18"/>
      <c r="H98" s="19"/>
      <c r="I98" s="19"/>
      <c r="J98" s="20"/>
      <c r="K98" s="17"/>
      <c r="L98" s="17"/>
      <c r="M98" s="102" t="s">
        <v>114</v>
      </c>
      <c r="N98" s="102"/>
      <c r="O98" s="102"/>
      <c r="P98" s="102"/>
      <c r="Q98" s="102"/>
      <c r="R98" s="102"/>
    </row>
    <row r="99" spans="1:18">
      <c r="A99" s="99" t="s">
        <v>49</v>
      </c>
      <c r="B99" s="99"/>
      <c r="C99" s="99"/>
      <c r="D99" s="16"/>
      <c r="E99" s="17"/>
      <c r="F99" s="18"/>
      <c r="G99" s="18"/>
      <c r="H99" s="19"/>
      <c r="I99" s="19"/>
      <c r="J99" s="20"/>
      <c r="K99" s="17"/>
      <c r="L99" s="17"/>
      <c r="M99" s="103" t="s">
        <v>122</v>
      </c>
      <c r="N99" s="103"/>
      <c r="O99" s="103"/>
      <c r="P99" s="103"/>
      <c r="Q99" s="103"/>
      <c r="R99" s="103"/>
    </row>
    <row r="100" spans="1:18">
      <c r="A100" s="100" t="s">
        <v>111</v>
      </c>
      <c r="B100" s="100"/>
      <c r="C100" s="100"/>
      <c r="D100" s="16"/>
      <c r="E100" s="17"/>
      <c r="F100" s="18"/>
      <c r="G100" s="18"/>
      <c r="H100" s="19"/>
      <c r="I100" s="19"/>
      <c r="J100" s="20"/>
      <c r="K100" s="17"/>
      <c r="L100" s="17"/>
      <c r="M100" s="103" t="s">
        <v>117</v>
      </c>
      <c r="N100" s="103"/>
      <c r="O100" s="103"/>
      <c r="P100" s="103"/>
      <c r="Q100" s="103"/>
      <c r="R100" s="103"/>
    </row>
    <row r="101" spans="1:18">
      <c r="A101" s="101" t="s">
        <v>110</v>
      </c>
      <c r="B101" s="101"/>
      <c r="C101" s="101"/>
      <c r="D101" s="16"/>
      <c r="E101" s="17"/>
      <c r="F101" s="18"/>
      <c r="G101" s="18"/>
      <c r="H101" s="19"/>
      <c r="I101" s="19"/>
      <c r="J101" s="20"/>
      <c r="K101" s="17"/>
      <c r="L101" s="17"/>
      <c r="M101" s="104" t="s">
        <v>123</v>
      </c>
      <c r="N101" s="104"/>
      <c r="O101" s="104"/>
      <c r="P101" s="104"/>
      <c r="Q101" s="104"/>
      <c r="R101" s="104"/>
    </row>
    <row r="102" spans="1:18" ht="18.75">
      <c r="A102" s="95" t="s">
        <v>5</v>
      </c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</row>
    <row r="103" spans="1:18" ht="15.75">
      <c r="A103" s="96" t="s">
        <v>6</v>
      </c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</row>
    <row r="104" spans="1:18" ht="15.75">
      <c r="A104" s="97" t="s">
        <v>101</v>
      </c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</row>
    <row r="105" spans="1:18" ht="18" customHeight="1">
      <c r="A105" s="109" t="s">
        <v>40</v>
      </c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1"/>
    </row>
    <row r="106" spans="1:18" ht="18" customHeight="1">
      <c r="A106" s="115" t="s">
        <v>4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</row>
    <row r="107" spans="1:18" ht="26.45" customHeight="1">
      <c r="A107" s="112" t="s">
        <v>26</v>
      </c>
      <c r="B107" s="108" t="s">
        <v>0</v>
      </c>
      <c r="C107" s="112" t="s">
        <v>35</v>
      </c>
      <c r="D107" s="108" t="s">
        <v>69</v>
      </c>
      <c r="E107" s="108" t="s">
        <v>2</v>
      </c>
      <c r="F107" s="105" t="s">
        <v>58</v>
      </c>
      <c r="G107" s="105" t="s">
        <v>59</v>
      </c>
      <c r="H107" s="105" t="s">
        <v>60</v>
      </c>
      <c r="I107" s="108" t="s">
        <v>3</v>
      </c>
      <c r="J107" s="15"/>
      <c r="K107" s="8" t="s">
        <v>61</v>
      </c>
      <c r="L107" s="8"/>
      <c r="M107" s="8"/>
      <c r="N107" s="8"/>
      <c r="O107" s="108" t="s">
        <v>62</v>
      </c>
      <c r="P107" s="108"/>
      <c r="Q107" s="108"/>
      <c r="R107" s="108"/>
    </row>
    <row r="108" spans="1:18" ht="12.6" customHeight="1">
      <c r="A108" s="112"/>
      <c r="B108" s="108"/>
      <c r="C108" s="112"/>
      <c r="D108" s="108"/>
      <c r="E108" s="108"/>
      <c r="F108" s="107"/>
      <c r="G108" s="107"/>
      <c r="H108" s="107"/>
      <c r="I108" s="108"/>
      <c r="J108" s="15"/>
      <c r="K108" s="30" t="s">
        <v>27</v>
      </c>
      <c r="L108" s="24" t="s">
        <v>28</v>
      </c>
      <c r="M108" s="24" t="s">
        <v>29</v>
      </c>
      <c r="N108" s="24" t="s">
        <v>30</v>
      </c>
      <c r="O108" s="24" t="s">
        <v>31</v>
      </c>
      <c r="P108" s="24" t="s">
        <v>67</v>
      </c>
      <c r="Q108" s="24" t="s">
        <v>33</v>
      </c>
      <c r="R108" s="24" t="s">
        <v>34</v>
      </c>
    </row>
    <row r="109" spans="1:18" ht="17.25" customHeight="1">
      <c r="A109" s="1">
        <v>210</v>
      </c>
      <c r="B109" s="32" t="s">
        <v>7</v>
      </c>
      <c r="C109" s="45" t="s">
        <v>39</v>
      </c>
      <c r="D109" s="1">
        <v>250</v>
      </c>
      <c r="E109" s="2">
        <v>97.93</v>
      </c>
      <c r="F109" s="2">
        <f>13.7*250/200</f>
        <v>17.125</v>
      </c>
      <c r="G109" s="2">
        <f>27.6*250/200</f>
        <v>34.5</v>
      </c>
      <c r="H109" s="2">
        <f>14.5*250/200</f>
        <v>18.125</v>
      </c>
      <c r="I109" s="2">
        <f>362.1*250/200</f>
        <v>452.625</v>
      </c>
      <c r="J109" s="49"/>
      <c r="K109" s="2">
        <f>113.9*250/200</f>
        <v>142.375</v>
      </c>
      <c r="L109" s="2">
        <f>19.5*250/200</f>
        <v>24.375</v>
      </c>
      <c r="M109" s="2">
        <f>259.8*250/200</f>
        <v>324.75</v>
      </c>
      <c r="N109" s="2">
        <f>3*250/200</f>
        <v>3.75</v>
      </c>
      <c r="O109" s="2">
        <f>339.8*250/200</f>
        <v>424.75</v>
      </c>
      <c r="P109" s="2">
        <f>0.2*250/200</f>
        <v>0.25</v>
      </c>
      <c r="Q109" s="2">
        <v>0</v>
      </c>
      <c r="R109" s="2">
        <f>0.3*250/200</f>
        <v>0.375</v>
      </c>
    </row>
    <row r="110" spans="1:18" ht="17.25" customHeight="1">
      <c r="A110" s="1"/>
      <c r="B110" s="1" t="s">
        <v>8</v>
      </c>
      <c r="C110" s="31" t="s">
        <v>66</v>
      </c>
      <c r="D110" s="32">
        <v>40</v>
      </c>
      <c r="E110" s="35">
        <v>2.93</v>
      </c>
      <c r="F110" s="35">
        <v>3.16</v>
      </c>
      <c r="G110" s="35">
        <v>0.4</v>
      </c>
      <c r="H110" s="35">
        <v>19.32</v>
      </c>
      <c r="I110" s="35">
        <v>93.52</v>
      </c>
      <c r="J110" s="69"/>
      <c r="K110" s="35">
        <v>9.1999999999999993</v>
      </c>
      <c r="L110" s="35">
        <v>13.2</v>
      </c>
      <c r="M110" s="35">
        <v>34.799999999999997</v>
      </c>
      <c r="N110" s="35">
        <v>0.44</v>
      </c>
      <c r="O110" s="35">
        <v>0</v>
      </c>
      <c r="P110" s="35">
        <v>0.04</v>
      </c>
      <c r="Q110" s="35">
        <v>0.09</v>
      </c>
      <c r="R110" s="35">
        <v>0.1</v>
      </c>
    </row>
    <row r="111" spans="1:18" ht="17.25" customHeight="1">
      <c r="A111" s="1"/>
      <c r="B111" s="1" t="s">
        <v>9</v>
      </c>
      <c r="C111" s="31" t="s">
        <v>83</v>
      </c>
      <c r="D111" s="32">
        <v>60</v>
      </c>
      <c r="E111" s="35">
        <v>14.4</v>
      </c>
      <c r="F111" s="35">
        <v>2.88</v>
      </c>
      <c r="G111" s="35">
        <v>1.68</v>
      </c>
      <c r="H111" s="35">
        <v>46.62</v>
      </c>
      <c r="I111" s="35">
        <v>201.48</v>
      </c>
      <c r="J111" s="69"/>
      <c r="K111" s="35">
        <v>5.4</v>
      </c>
      <c r="L111" s="75">
        <v>0</v>
      </c>
      <c r="M111" s="75">
        <v>0</v>
      </c>
      <c r="N111" s="35">
        <v>0.36</v>
      </c>
      <c r="O111" s="75">
        <v>0</v>
      </c>
      <c r="P111" s="35">
        <v>0.05</v>
      </c>
      <c r="Q111" s="35">
        <v>0.83</v>
      </c>
      <c r="R111" s="75">
        <v>0</v>
      </c>
    </row>
    <row r="112" spans="1:18" ht="18" customHeight="1">
      <c r="A112" s="1">
        <v>376</v>
      </c>
      <c r="B112" s="1" t="s">
        <v>13</v>
      </c>
      <c r="C112" s="31" t="s">
        <v>16</v>
      </c>
      <c r="D112" s="1">
        <v>200</v>
      </c>
      <c r="E112" s="2">
        <v>1.89</v>
      </c>
      <c r="F112" s="2">
        <v>0.1</v>
      </c>
      <c r="G112" s="2">
        <v>0</v>
      </c>
      <c r="H112" s="2">
        <v>15</v>
      </c>
      <c r="I112" s="2">
        <v>60</v>
      </c>
      <c r="J112" s="49"/>
      <c r="K112" s="2">
        <v>5</v>
      </c>
      <c r="L112" s="2">
        <v>0</v>
      </c>
      <c r="M112" s="2">
        <v>0</v>
      </c>
      <c r="N112" s="2">
        <v>2</v>
      </c>
      <c r="O112" s="2">
        <v>0</v>
      </c>
      <c r="P112" s="2">
        <v>0</v>
      </c>
      <c r="Q112" s="2">
        <v>0</v>
      </c>
      <c r="R112" s="2">
        <v>0</v>
      </c>
    </row>
    <row r="113" spans="1:18" ht="18" customHeight="1">
      <c r="A113" s="114" t="s">
        <v>11</v>
      </c>
      <c r="B113" s="114"/>
      <c r="C113" s="114"/>
      <c r="D113" s="24">
        <v>550</v>
      </c>
      <c r="E113" s="13">
        <f>SUM(E108:E112)</f>
        <v>117.15000000000002</v>
      </c>
      <c r="F113" s="13">
        <f>SUM(F108:F112)</f>
        <v>23.265000000000001</v>
      </c>
      <c r="G113" s="13">
        <f>SUM(G108:G112)</f>
        <v>36.58</v>
      </c>
      <c r="H113" s="13">
        <f>SUM(H108:H112)</f>
        <v>99.064999999999998</v>
      </c>
      <c r="I113" s="13">
        <f>SUM(I108:I112)</f>
        <v>807.625</v>
      </c>
      <c r="J113" s="49"/>
      <c r="K113" s="13">
        <f t="shared" ref="K113:R113" si="9">SUM(K109:K112)</f>
        <v>161.97499999999999</v>
      </c>
      <c r="L113" s="13">
        <f t="shared" si="9"/>
        <v>37.575000000000003</v>
      </c>
      <c r="M113" s="13">
        <f t="shared" si="9"/>
        <v>359.55</v>
      </c>
      <c r="N113" s="13">
        <f t="shared" si="9"/>
        <v>6.5500000000000007</v>
      </c>
      <c r="O113" s="13">
        <f t="shared" si="9"/>
        <v>424.75</v>
      </c>
      <c r="P113" s="13">
        <f t="shared" si="9"/>
        <v>0.33999999999999997</v>
      </c>
      <c r="Q113" s="13">
        <f t="shared" si="9"/>
        <v>0.91999999999999993</v>
      </c>
      <c r="R113" s="13">
        <f t="shared" si="9"/>
        <v>0.47499999999999998</v>
      </c>
    </row>
    <row r="114" spans="1:18" ht="18" customHeight="1">
      <c r="A114" s="116" t="s">
        <v>12</v>
      </c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8"/>
    </row>
    <row r="115" spans="1:18" ht="18" customHeight="1">
      <c r="A115" s="112" t="s">
        <v>26</v>
      </c>
      <c r="B115" s="108" t="s">
        <v>0</v>
      </c>
      <c r="C115" s="112" t="s">
        <v>35</v>
      </c>
      <c r="D115" s="108" t="s">
        <v>69</v>
      </c>
      <c r="E115" s="108" t="s">
        <v>2</v>
      </c>
      <c r="F115" s="105" t="s">
        <v>58</v>
      </c>
      <c r="G115" s="105" t="s">
        <v>59</v>
      </c>
      <c r="H115" s="105" t="s">
        <v>60</v>
      </c>
      <c r="I115" s="108" t="s">
        <v>3</v>
      </c>
      <c r="J115" s="15"/>
      <c r="K115" s="8" t="s">
        <v>61</v>
      </c>
      <c r="L115" s="8"/>
      <c r="M115" s="8"/>
      <c r="N115" s="8"/>
      <c r="O115" s="108" t="s">
        <v>62</v>
      </c>
      <c r="P115" s="108"/>
      <c r="Q115" s="108"/>
      <c r="R115" s="108"/>
    </row>
    <row r="116" spans="1:18" ht="15" customHeight="1">
      <c r="A116" s="112"/>
      <c r="B116" s="108"/>
      <c r="C116" s="112"/>
      <c r="D116" s="108"/>
      <c r="E116" s="108"/>
      <c r="F116" s="107"/>
      <c r="G116" s="107"/>
      <c r="H116" s="107"/>
      <c r="I116" s="108"/>
      <c r="J116" s="15"/>
      <c r="K116" s="30" t="s">
        <v>27</v>
      </c>
      <c r="L116" s="24" t="s">
        <v>28</v>
      </c>
      <c r="M116" s="24" t="s">
        <v>29</v>
      </c>
      <c r="N116" s="24" t="s">
        <v>30</v>
      </c>
      <c r="O116" s="24" t="s">
        <v>31</v>
      </c>
      <c r="P116" s="24" t="s">
        <v>67</v>
      </c>
      <c r="Q116" s="24" t="s">
        <v>33</v>
      </c>
      <c r="R116" s="24" t="s">
        <v>34</v>
      </c>
    </row>
    <row r="117" spans="1:18" ht="18" customHeight="1">
      <c r="A117" s="28">
        <v>71</v>
      </c>
      <c r="B117" s="1" t="s">
        <v>7</v>
      </c>
      <c r="C117" s="5" t="s">
        <v>77</v>
      </c>
      <c r="D117" s="1">
        <v>100</v>
      </c>
      <c r="E117" s="2">
        <v>18.940000000000001</v>
      </c>
      <c r="F117" s="68">
        <v>0.8</v>
      </c>
      <c r="G117" s="68">
        <v>0</v>
      </c>
      <c r="H117" s="68">
        <v>3.3</v>
      </c>
      <c r="I117" s="2">
        <v>16</v>
      </c>
      <c r="J117" s="70"/>
      <c r="K117" s="2">
        <v>23</v>
      </c>
      <c r="L117" s="2">
        <v>0</v>
      </c>
      <c r="M117" s="2">
        <v>0</v>
      </c>
      <c r="N117" s="2">
        <v>0.5</v>
      </c>
      <c r="O117" s="2">
        <v>0</v>
      </c>
      <c r="P117" s="2">
        <v>0</v>
      </c>
      <c r="Q117" s="2">
        <v>0</v>
      </c>
      <c r="R117" s="2">
        <v>5</v>
      </c>
    </row>
    <row r="118" spans="1:18" ht="26.25" customHeight="1">
      <c r="A118" s="1">
        <v>88</v>
      </c>
      <c r="B118" s="1" t="s">
        <v>8</v>
      </c>
      <c r="C118" s="4" t="s">
        <v>19</v>
      </c>
      <c r="D118" s="32">
        <v>250</v>
      </c>
      <c r="E118" s="1">
        <v>12.66</v>
      </c>
      <c r="F118" s="2">
        <v>1.6</v>
      </c>
      <c r="G118" s="2">
        <v>4.9000000000000004</v>
      </c>
      <c r="H118" s="2">
        <v>11.5</v>
      </c>
      <c r="I118" s="2">
        <v>96.8</v>
      </c>
      <c r="J118" s="71"/>
      <c r="K118" s="2">
        <v>75.2</v>
      </c>
      <c r="L118" s="2">
        <v>14.7</v>
      </c>
      <c r="M118" s="2">
        <v>34.200000000000003</v>
      </c>
      <c r="N118" s="2">
        <v>1.0249999999999999</v>
      </c>
      <c r="O118" s="2">
        <v>1</v>
      </c>
      <c r="P118" s="2">
        <v>5.5</v>
      </c>
      <c r="Q118" s="2">
        <v>0.6</v>
      </c>
      <c r="R118" s="2">
        <v>9.5</v>
      </c>
    </row>
    <row r="119" spans="1:18" ht="18" customHeight="1">
      <c r="A119" s="1">
        <v>282</v>
      </c>
      <c r="B119" s="1" t="s">
        <v>9</v>
      </c>
      <c r="C119" s="5" t="s">
        <v>55</v>
      </c>
      <c r="D119" s="32" t="s">
        <v>95</v>
      </c>
      <c r="E119" s="2">
        <v>73.650000000000006</v>
      </c>
      <c r="F119" s="2">
        <v>16.8</v>
      </c>
      <c r="G119" s="2">
        <v>23.1</v>
      </c>
      <c r="H119" s="2">
        <v>6.1</v>
      </c>
      <c r="I119" s="2">
        <v>299.7</v>
      </c>
      <c r="J119" s="49"/>
      <c r="K119" s="2">
        <v>19.5</v>
      </c>
      <c r="L119" s="2">
        <v>22</v>
      </c>
      <c r="M119" s="2">
        <v>346.9</v>
      </c>
      <c r="N119" s="2">
        <v>7.4</v>
      </c>
      <c r="O119" s="2">
        <v>9.6999999999999993</v>
      </c>
      <c r="P119" s="2">
        <v>2.7</v>
      </c>
      <c r="Q119" s="2">
        <v>9.5</v>
      </c>
      <c r="R119" s="2">
        <v>34.6</v>
      </c>
    </row>
    <row r="120" spans="1:18" ht="18" customHeight="1">
      <c r="A120" s="1">
        <v>309</v>
      </c>
      <c r="B120" s="32" t="s">
        <v>13</v>
      </c>
      <c r="C120" s="44" t="s">
        <v>91</v>
      </c>
      <c r="D120" s="32">
        <v>180</v>
      </c>
      <c r="E120" s="2">
        <v>14.42</v>
      </c>
      <c r="F120" s="2">
        <f>5.52*180/150</f>
        <v>6.6239999999999997</v>
      </c>
      <c r="G120" s="2">
        <f>4.5*180/150</f>
        <v>5.4</v>
      </c>
      <c r="H120" s="2">
        <f>26.45*180/150</f>
        <v>31.74</v>
      </c>
      <c r="I120" s="2">
        <f>168.45*180/150</f>
        <v>202.14</v>
      </c>
      <c r="J120" s="57"/>
      <c r="K120" s="2">
        <f>4.86*180/150</f>
        <v>5.8320000000000007</v>
      </c>
      <c r="L120" s="2">
        <f>21.12*180/150</f>
        <v>25.344000000000001</v>
      </c>
      <c r="M120" s="2">
        <f>37.17*180/150</f>
        <v>44.603999999999999</v>
      </c>
      <c r="N120" s="2">
        <f>1.1025*180/150</f>
        <v>1.3230000000000002</v>
      </c>
      <c r="O120" s="2">
        <v>0</v>
      </c>
      <c r="P120" s="2">
        <f>0.0525*180/150</f>
        <v>6.3E-2</v>
      </c>
      <c r="Q120" s="2">
        <f>0.78*180/150</f>
        <v>0.93600000000000005</v>
      </c>
      <c r="R120" s="2">
        <v>0</v>
      </c>
    </row>
    <row r="121" spans="1:18" ht="18" customHeight="1">
      <c r="A121" s="1"/>
      <c r="B121" s="1" t="s">
        <v>14</v>
      </c>
      <c r="C121" s="4" t="s">
        <v>57</v>
      </c>
      <c r="D121" s="1">
        <v>200</v>
      </c>
      <c r="E121" s="2">
        <v>14</v>
      </c>
      <c r="F121" s="2">
        <v>0.2</v>
      </c>
      <c r="G121" s="2">
        <v>0</v>
      </c>
      <c r="H121" s="2">
        <v>3.9</v>
      </c>
      <c r="I121" s="2">
        <v>16</v>
      </c>
      <c r="J121" s="71"/>
      <c r="K121" s="2">
        <v>0.24</v>
      </c>
      <c r="L121" s="2">
        <v>0.2</v>
      </c>
      <c r="M121" s="2">
        <v>0.5</v>
      </c>
      <c r="N121" s="2">
        <v>7</v>
      </c>
      <c r="O121" s="2">
        <v>0</v>
      </c>
      <c r="P121" s="2">
        <v>0.1</v>
      </c>
      <c r="Q121" s="2">
        <v>0</v>
      </c>
      <c r="R121" s="2">
        <v>6</v>
      </c>
    </row>
    <row r="122" spans="1:18" ht="18" customHeight="1">
      <c r="A122" s="1"/>
      <c r="B122" s="1" t="s">
        <v>15</v>
      </c>
      <c r="C122" s="4" t="s">
        <v>84</v>
      </c>
      <c r="D122" s="32">
        <v>40</v>
      </c>
      <c r="E122" s="2">
        <v>2.93</v>
      </c>
      <c r="F122" s="2">
        <v>2.2400000000000002</v>
      </c>
      <c r="G122" s="2">
        <v>0.44000000000000006</v>
      </c>
      <c r="H122" s="2">
        <v>19.759999999999998</v>
      </c>
      <c r="I122" s="2">
        <v>91.960000000000008</v>
      </c>
      <c r="J122" s="2"/>
      <c r="K122" s="2">
        <v>9.1999999999999993</v>
      </c>
      <c r="L122" s="2">
        <v>10</v>
      </c>
      <c r="M122" s="2">
        <v>42.4</v>
      </c>
      <c r="N122" s="2">
        <v>1.24</v>
      </c>
      <c r="O122" s="2">
        <v>0</v>
      </c>
      <c r="P122" s="2">
        <v>0.04</v>
      </c>
      <c r="Q122" s="2">
        <v>0</v>
      </c>
      <c r="R122" s="2">
        <v>0</v>
      </c>
    </row>
    <row r="123" spans="1:18" ht="18" customHeight="1">
      <c r="A123" s="1"/>
      <c r="B123" s="1" t="s">
        <v>68</v>
      </c>
      <c r="C123" s="31" t="s">
        <v>70</v>
      </c>
      <c r="D123" s="32">
        <v>70</v>
      </c>
      <c r="E123" s="35">
        <v>5.13</v>
      </c>
      <c r="F123" s="2">
        <v>5.53</v>
      </c>
      <c r="G123" s="2">
        <v>0.7</v>
      </c>
      <c r="H123" s="2">
        <v>33.81</v>
      </c>
      <c r="I123" s="2">
        <v>163.66</v>
      </c>
      <c r="J123" s="2"/>
      <c r="K123" s="2">
        <v>16.100000000000001</v>
      </c>
      <c r="L123" s="2">
        <v>23.1</v>
      </c>
      <c r="M123" s="2">
        <v>60.9</v>
      </c>
      <c r="N123" s="2">
        <v>0.77</v>
      </c>
      <c r="O123" s="2">
        <v>0</v>
      </c>
      <c r="P123" s="2">
        <v>7.0000000000000007E-2</v>
      </c>
      <c r="Q123" s="2">
        <v>0</v>
      </c>
      <c r="R123" s="2">
        <v>0</v>
      </c>
    </row>
    <row r="124" spans="1:18" ht="18" customHeight="1">
      <c r="A124" s="1">
        <v>386</v>
      </c>
      <c r="B124" s="1" t="s">
        <v>80</v>
      </c>
      <c r="C124" s="27" t="s">
        <v>82</v>
      </c>
      <c r="D124" s="1">
        <v>100</v>
      </c>
      <c r="E124" s="2">
        <v>15.45</v>
      </c>
      <c r="F124" s="2">
        <v>2.7</v>
      </c>
      <c r="G124" s="2">
        <v>2.5</v>
      </c>
      <c r="H124" s="2">
        <v>10.8</v>
      </c>
      <c r="I124" s="2">
        <v>79</v>
      </c>
      <c r="J124" s="49"/>
      <c r="K124" s="2">
        <v>121</v>
      </c>
      <c r="L124" s="2">
        <v>15</v>
      </c>
      <c r="M124" s="2">
        <v>94</v>
      </c>
      <c r="N124" s="2">
        <v>0.1</v>
      </c>
      <c r="O124" s="2">
        <v>20</v>
      </c>
      <c r="P124" s="2">
        <v>4.4999999999999998E-2</v>
      </c>
      <c r="Q124" s="2">
        <v>0.1</v>
      </c>
      <c r="R124" s="2">
        <v>1.35</v>
      </c>
    </row>
    <row r="125" spans="1:18" ht="18" customHeight="1">
      <c r="A125" s="114" t="s">
        <v>11</v>
      </c>
      <c r="B125" s="114"/>
      <c r="C125" s="114"/>
      <c r="D125" s="24">
        <v>1045</v>
      </c>
      <c r="E125" s="13">
        <f t="shared" ref="E125:R125" si="10">SUM(E117:E124)</f>
        <v>157.18</v>
      </c>
      <c r="F125" s="13">
        <f t="shared" si="10"/>
        <v>36.494000000000007</v>
      </c>
      <c r="G125" s="13">
        <f t="shared" si="10"/>
        <v>37.04</v>
      </c>
      <c r="H125" s="13">
        <f t="shared" si="10"/>
        <v>120.91</v>
      </c>
      <c r="I125" s="13">
        <f t="shared" si="10"/>
        <v>965.26</v>
      </c>
      <c r="J125" s="13">
        <f t="shared" si="10"/>
        <v>0</v>
      </c>
      <c r="K125" s="13">
        <f t="shared" si="10"/>
        <v>270.072</v>
      </c>
      <c r="L125" s="13">
        <f t="shared" si="10"/>
        <v>110.34399999999999</v>
      </c>
      <c r="M125" s="13">
        <f t="shared" si="10"/>
        <v>623.50399999999991</v>
      </c>
      <c r="N125" s="13">
        <f t="shared" si="10"/>
        <v>19.358000000000001</v>
      </c>
      <c r="O125" s="13">
        <f t="shared" si="10"/>
        <v>30.7</v>
      </c>
      <c r="P125" s="13">
        <f t="shared" si="10"/>
        <v>8.5179999999999989</v>
      </c>
      <c r="Q125" s="13">
        <f t="shared" si="10"/>
        <v>11.135999999999999</v>
      </c>
      <c r="R125" s="13">
        <f t="shared" si="10"/>
        <v>56.45</v>
      </c>
    </row>
    <row r="126" spans="1:18" ht="18" customHeight="1">
      <c r="A126" s="113" t="s">
        <v>17</v>
      </c>
      <c r="B126" s="113"/>
      <c r="C126" s="113"/>
      <c r="D126" s="113"/>
      <c r="E126" s="13">
        <f>E113+E125</f>
        <v>274.33000000000004</v>
      </c>
      <c r="F126" s="13">
        <f>F113+F125</f>
        <v>59.759000000000007</v>
      </c>
      <c r="G126" s="13">
        <f>G113+G125</f>
        <v>73.62</v>
      </c>
      <c r="H126" s="13">
        <f>H113+H125</f>
        <v>219.97499999999999</v>
      </c>
      <c r="I126" s="13">
        <f>I113+I125</f>
        <v>1772.885</v>
      </c>
      <c r="J126" s="49"/>
      <c r="K126" s="13">
        <f t="shared" ref="K126:R126" si="11">K113+K125</f>
        <v>432.04700000000003</v>
      </c>
      <c r="L126" s="13">
        <f t="shared" si="11"/>
        <v>147.91899999999998</v>
      </c>
      <c r="M126" s="13">
        <f t="shared" si="11"/>
        <v>983.05399999999986</v>
      </c>
      <c r="N126" s="13">
        <f t="shared" si="11"/>
        <v>25.908000000000001</v>
      </c>
      <c r="O126" s="13">
        <f t="shared" si="11"/>
        <v>455.45</v>
      </c>
      <c r="P126" s="13">
        <f t="shared" si="11"/>
        <v>8.8579999999999988</v>
      </c>
      <c r="Q126" s="13">
        <f t="shared" si="11"/>
        <v>12.055999999999999</v>
      </c>
      <c r="R126" s="13">
        <f t="shared" si="11"/>
        <v>56.925000000000004</v>
      </c>
    </row>
    <row r="127" spans="1:18">
      <c r="A127" s="16"/>
      <c r="B127" s="16"/>
      <c r="C127" s="16"/>
      <c r="D127" s="16"/>
      <c r="E127" s="18"/>
      <c r="F127" s="18"/>
      <c r="G127" s="18"/>
      <c r="H127" s="18"/>
      <c r="I127" s="18"/>
      <c r="J127" s="20"/>
      <c r="K127" s="18"/>
      <c r="L127" s="17"/>
      <c r="M127" s="18"/>
      <c r="N127" s="21"/>
      <c r="O127" s="18"/>
      <c r="P127" s="17"/>
      <c r="Q127" s="19"/>
      <c r="R127" s="19"/>
    </row>
    <row r="128" spans="1:18">
      <c r="A128" s="16"/>
      <c r="B128" s="16"/>
      <c r="C128" s="16"/>
      <c r="D128" s="16"/>
      <c r="E128" s="18"/>
      <c r="F128" s="18"/>
      <c r="G128" s="18"/>
      <c r="H128" s="18"/>
      <c r="I128" s="18"/>
      <c r="J128" s="20"/>
      <c r="K128" s="18"/>
      <c r="L128" s="17"/>
      <c r="M128" s="18"/>
      <c r="N128" s="21"/>
      <c r="O128" s="18"/>
      <c r="P128" s="17"/>
      <c r="Q128" s="19"/>
      <c r="R128" s="19"/>
    </row>
    <row r="129" spans="1:18">
      <c r="A129" s="16"/>
      <c r="B129" s="16"/>
      <c r="C129" s="16"/>
      <c r="D129" s="16"/>
      <c r="E129" s="18"/>
      <c r="F129" s="18"/>
      <c r="G129" s="18"/>
      <c r="H129" s="18"/>
      <c r="I129" s="18"/>
      <c r="J129" s="20"/>
      <c r="K129" s="18"/>
      <c r="L129" s="17"/>
      <c r="M129" s="18"/>
      <c r="N129" s="18"/>
      <c r="O129" s="18"/>
      <c r="P129" s="18"/>
      <c r="Q129" s="17"/>
      <c r="R129" s="18"/>
    </row>
    <row r="130" spans="1:18">
      <c r="A130" s="98" t="s">
        <v>37</v>
      </c>
      <c r="B130" s="98"/>
      <c r="C130" s="98"/>
      <c r="D130" s="16"/>
      <c r="E130" s="18"/>
      <c r="F130" s="18"/>
      <c r="G130" s="18"/>
      <c r="H130" s="18"/>
      <c r="I130" s="18"/>
      <c r="J130" s="20"/>
      <c r="K130" s="18"/>
      <c r="L130" s="17"/>
      <c r="M130" s="102" t="s">
        <v>114</v>
      </c>
      <c r="N130" s="102"/>
      <c r="O130" s="102"/>
      <c r="P130" s="102"/>
      <c r="Q130" s="102"/>
      <c r="R130" s="102"/>
    </row>
    <row r="131" spans="1:18">
      <c r="A131" s="99" t="s">
        <v>49</v>
      </c>
      <c r="B131" s="99"/>
      <c r="C131" s="99"/>
      <c r="D131" s="16"/>
      <c r="E131" s="18"/>
      <c r="F131" s="18"/>
      <c r="G131" s="18"/>
      <c r="H131" s="18"/>
      <c r="I131" s="18"/>
      <c r="J131" s="20"/>
      <c r="K131" s="18"/>
      <c r="L131" s="17"/>
      <c r="M131" s="103" t="s">
        <v>122</v>
      </c>
      <c r="N131" s="103"/>
      <c r="O131" s="103"/>
      <c r="P131" s="103"/>
      <c r="Q131" s="103"/>
      <c r="R131" s="103"/>
    </row>
    <row r="132" spans="1:18">
      <c r="A132" s="100" t="s">
        <v>111</v>
      </c>
      <c r="B132" s="100"/>
      <c r="C132" s="100"/>
      <c r="D132" s="16"/>
      <c r="E132" s="18"/>
      <c r="F132" s="18"/>
      <c r="G132" s="18"/>
      <c r="H132" s="18"/>
      <c r="I132" s="18"/>
      <c r="J132" s="20"/>
      <c r="K132" s="18"/>
      <c r="L132" s="17"/>
      <c r="M132" s="103" t="s">
        <v>117</v>
      </c>
      <c r="N132" s="103"/>
      <c r="O132" s="103"/>
      <c r="P132" s="103"/>
      <c r="Q132" s="103"/>
      <c r="R132" s="103"/>
    </row>
    <row r="133" spans="1:18">
      <c r="A133" s="101" t="s">
        <v>110</v>
      </c>
      <c r="B133" s="101"/>
      <c r="C133" s="101"/>
      <c r="D133" s="16"/>
      <c r="E133" s="18"/>
      <c r="F133" s="18"/>
      <c r="G133" s="18"/>
      <c r="H133" s="18"/>
      <c r="I133" s="18"/>
      <c r="J133" s="20"/>
      <c r="K133" s="18"/>
      <c r="L133" s="17"/>
      <c r="M133" s="104" t="s">
        <v>123</v>
      </c>
      <c r="N133" s="104"/>
      <c r="O133" s="104"/>
      <c r="P133" s="104"/>
      <c r="Q133" s="104"/>
      <c r="R133" s="104"/>
    </row>
    <row r="134" spans="1:18" ht="18.75">
      <c r="A134" s="95" t="s">
        <v>5</v>
      </c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</row>
    <row r="135" spans="1:18" ht="15.75">
      <c r="A135" s="96" t="s">
        <v>6</v>
      </c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</row>
    <row r="136" spans="1:18" ht="15.75">
      <c r="A136" s="97" t="s">
        <v>101</v>
      </c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</row>
    <row r="137" spans="1:18" ht="18" customHeight="1">
      <c r="A137" s="109" t="s">
        <v>41</v>
      </c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1"/>
    </row>
    <row r="138" spans="1:18" ht="18.75" customHeight="1">
      <c r="A138" s="115" t="s">
        <v>4</v>
      </c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</row>
    <row r="139" spans="1:18" ht="18" customHeight="1">
      <c r="A139" s="112" t="s">
        <v>26</v>
      </c>
      <c r="B139" s="108" t="s">
        <v>0</v>
      </c>
      <c r="C139" s="112" t="s">
        <v>35</v>
      </c>
      <c r="D139" s="108" t="s">
        <v>72</v>
      </c>
      <c r="E139" s="108" t="s">
        <v>2</v>
      </c>
      <c r="F139" s="105" t="s">
        <v>58</v>
      </c>
      <c r="G139" s="105" t="s">
        <v>59</v>
      </c>
      <c r="H139" s="105" t="s">
        <v>60</v>
      </c>
      <c r="I139" s="108" t="s">
        <v>3</v>
      </c>
      <c r="J139" s="15"/>
      <c r="K139" s="8" t="s">
        <v>61</v>
      </c>
      <c r="L139" s="8"/>
      <c r="M139" s="8"/>
      <c r="N139" s="8"/>
      <c r="O139" s="108" t="s">
        <v>62</v>
      </c>
      <c r="P139" s="108"/>
      <c r="Q139" s="108"/>
      <c r="R139" s="108"/>
    </row>
    <row r="140" spans="1:18" ht="15" customHeight="1">
      <c r="A140" s="112"/>
      <c r="B140" s="108"/>
      <c r="C140" s="112"/>
      <c r="D140" s="108"/>
      <c r="E140" s="108"/>
      <c r="F140" s="107"/>
      <c r="G140" s="107"/>
      <c r="H140" s="107"/>
      <c r="I140" s="108"/>
      <c r="J140" s="15"/>
      <c r="K140" s="30" t="s">
        <v>27</v>
      </c>
      <c r="L140" s="24" t="s">
        <v>28</v>
      </c>
      <c r="M140" s="24" t="s">
        <v>29</v>
      </c>
      <c r="N140" s="24" t="s">
        <v>30</v>
      </c>
      <c r="O140" s="24" t="s">
        <v>31</v>
      </c>
      <c r="P140" s="24" t="s">
        <v>67</v>
      </c>
      <c r="Q140" s="24" t="s">
        <v>33</v>
      </c>
      <c r="R140" s="24" t="s">
        <v>34</v>
      </c>
    </row>
    <row r="141" spans="1:18" ht="29.25" customHeight="1">
      <c r="A141" s="89" t="s">
        <v>100</v>
      </c>
      <c r="B141" s="37" t="s">
        <v>7</v>
      </c>
      <c r="C141" s="46" t="s">
        <v>74</v>
      </c>
      <c r="D141" s="1" t="s">
        <v>103</v>
      </c>
      <c r="E141" s="2">
        <v>44.36</v>
      </c>
      <c r="F141" s="86">
        <v>6.99</v>
      </c>
      <c r="G141" s="86">
        <v>9.26</v>
      </c>
      <c r="H141" s="86">
        <v>7.37</v>
      </c>
      <c r="I141" s="2">
        <v>140.4</v>
      </c>
      <c r="J141" s="70"/>
      <c r="K141" s="2">
        <v>57.69</v>
      </c>
      <c r="L141" s="2">
        <v>12.76</v>
      </c>
      <c r="M141" s="2">
        <v>58.87</v>
      </c>
      <c r="N141" s="2">
        <v>21.23</v>
      </c>
      <c r="O141" s="2">
        <v>0.09</v>
      </c>
      <c r="P141" s="2">
        <v>0.11</v>
      </c>
      <c r="Q141" s="2">
        <v>2.11</v>
      </c>
      <c r="R141" s="2">
        <v>0.66</v>
      </c>
    </row>
    <row r="142" spans="1:18" ht="18" customHeight="1">
      <c r="A142" s="1">
        <v>309</v>
      </c>
      <c r="B142" s="32" t="s">
        <v>8</v>
      </c>
      <c r="C142" s="44" t="s">
        <v>91</v>
      </c>
      <c r="D142" s="32">
        <v>180</v>
      </c>
      <c r="E142" s="2">
        <v>14.42</v>
      </c>
      <c r="F142" s="2">
        <f>5.52*180/150</f>
        <v>6.6239999999999997</v>
      </c>
      <c r="G142" s="2">
        <f>4.5*180/150</f>
        <v>5.4</v>
      </c>
      <c r="H142" s="2">
        <f>26.45*180/150</f>
        <v>31.74</v>
      </c>
      <c r="I142" s="2">
        <f>168.45*180/150</f>
        <v>202.14</v>
      </c>
      <c r="J142" s="57"/>
      <c r="K142" s="2">
        <f>4.86*180/150</f>
        <v>5.8320000000000007</v>
      </c>
      <c r="L142" s="2">
        <f>21.12*180/150</f>
        <v>25.344000000000001</v>
      </c>
      <c r="M142" s="2">
        <f>37.17*180/150</f>
        <v>44.603999999999999</v>
      </c>
      <c r="N142" s="2">
        <f>1.1025*180/150</f>
        <v>1.3230000000000002</v>
      </c>
      <c r="O142" s="2">
        <v>0</v>
      </c>
      <c r="P142" s="2">
        <f>0.0525*180/150</f>
        <v>6.3E-2</v>
      </c>
      <c r="Q142" s="2">
        <f>0.78*180/150</f>
        <v>0.93600000000000005</v>
      </c>
      <c r="R142" s="2">
        <v>0</v>
      </c>
    </row>
    <row r="143" spans="1:18" ht="18" customHeight="1">
      <c r="A143" s="1"/>
      <c r="B143" s="1" t="s">
        <v>9</v>
      </c>
      <c r="C143" s="31" t="s">
        <v>66</v>
      </c>
      <c r="D143" s="32">
        <v>40</v>
      </c>
      <c r="E143" s="35">
        <v>2.93</v>
      </c>
      <c r="F143" s="35">
        <v>3.16</v>
      </c>
      <c r="G143" s="35">
        <v>0.4</v>
      </c>
      <c r="H143" s="35">
        <v>19.32</v>
      </c>
      <c r="I143" s="35">
        <v>93.52</v>
      </c>
      <c r="J143" s="69"/>
      <c r="K143" s="35">
        <v>9.1999999999999993</v>
      </c>
      <c r="L143" s="35">
        <v>13.2</v>
      </c>
      <c r="M143" s="35">
        <v>34.799999999999997</v>
      </c>
      <c r="N143" s="35">
        <v>0.44</v>
      </c>
      <c r="O143" s="35">
        <v>0</v>
      </c>
      <c r="P143" s="35">
        <v>0.04</v>
      </c>
      <c r="Q143" s="35">
        <v>0.09</v>
      </c>
      <c r="R143" s="35">
        <v>0.1</v>
      </c>
    </row>
    <row r="144" spans="1:18" ht="18" customHeight="1">
      <c r="A144" s="1">
        <v>379</v>
      </c>
      <c r="B144" s="1" t="s">
        <v>13</v>
      </c>
      <c r="C144" s="6" t="s">
        <v>18</v>
      </c>
      <c r="D144" s="1">
        <v>200</v>
      </c>
      <c r="E144" s="2">
        <v>17.45</v>
      </c>
      <c r="F144" s="2">
        <v>3.6</v>
      </c>
      <c r="G144" s="2">
        <v>2.7</v>
      </c>
      <c r="H144" s="2">
        <v>28.3</v>
      </c>
      <c r="I144" s="2">
        <v>151.80000000000001</v>
      </c>
      <c r="J144" s="57"/>
      <c r="K144" s="2">
        <v>100.3</v>
      </c>
      <c r="L144" s="2">
        <v>11.7</v>
      </c>
      <c r="M144" s="2">
        <v>75</v>
      </c>
      <c r="N144" s="2">
        <v>0.1</v>
      </c>
      <c r="O144" s="2">
        <v>0</v>
      </c>
      <c r="P144" s="2">
        <v>4.7</v>
      </c>
      <c r="Q144" s="2">
        <v>0.1</v>
      </c>
      <c r="R144" s="2">
        <v>1.1000000000000001</v>
      </c>
    </row>
    <row r="145" spans="1:18" ht="18" customHeight="1">
      <c r="A145" s="114" t="s">
        <v>11</v>
      </c>
      <c r="B145" s="114"/>
      <c r="C145" s="114"/>
      <c r="D145" s="24">
        <v>750</v>
      </c>
      <c r="E145" s="13">
        <f t="shared" ref="E145:R145" si="12">SUM(E141:E144)</f>
        <v>79.16</v>
      </c>
      <c r="F145" s="13">
        <f t="shared" si="12"/>
        <v>20.374000000000002</v>
      </c>
      <c r="G145" s="13">
        <f t="shared" si="12"/>
        <v>17.760000000000002</v>
      </c>
      <c r="H145" s="13">
        <f t="shared" si="12"/>
        <v>86.73</v>
      </c>
      <c r="I145" s="13">
        <f t="shared" si="12"/>
        <v>587.8599999999999</v>
      </c>
      <c r="J145" s="13">
        <f t="shared" si="12"/>
        <v>0</v>
      </c>
      <c r="K145" s="13">
        <f t="shared" si="12"/>
        <v>173.02199999999999</v>
      </c>
      <c r="L145" s="13">
        <f t="shared" si="12"/>
        <v>63.004000000000005</v>
      </c>
      <c r="M145" s="13">
        <f t="shared" si="12"/>
        <v>213.274</v>
      </c>
      <c r="N145" s="13">
        <f t="shared" si="12"/>
        <v>23.093000000000004</v>
      </c>
      <c r="O145" s="13">
        <f t="shared" si="12"/>
        <v>0.09</v>
      </c>
      <c r="P145" s="13">
        <f t="shared" si="12"/>
        <v>4.9130000000000003</v>
      </c>
      <c r="Q145" s="13">
        <f t="shared" si="12"/>
        <v>3.2359999999999998</v>
      </c>
      <c r="R145" s="13">
        <f t="shared" si="12"/>
        <v>1.86</v>
      </c>
    </row>
    <row r="146" spans="1:18" ht="18" customHeight="1">
      <c r="A146" s="115" t="s">
        <v>12</v>
      </c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</row>
    <row r="147" spans="1:18" ht="18" customHeight="1">
      <c r="A147" s="112" t="s">
        <v>26</v>
      </c>
      <c r="B147" s="108" t="s">
        <v>0</v>
      </c>
      <c r="C147" s="112" t="s">
        <v>35</v>
      </c>
      <c r="D147" s="108" t="s">
        <v>72</v>
      </c>
      <c r="E147" s="108" t="s">
        <v>2</v>
      </c>
      <c r="F147" s="105" t="s">
        <v>58</v>
      </c>
      <c r="G147" s="105" t="s">
        <v>59</v>
      </c>
      <c r="H147" s="105" t="s">
        <v>60</v>
      </c>
      <c r="I147" s="108" t="s">
        <v>3</v>
      </c>
      <c r="J147" s="15"/>
      <c r="K147" s="8" t="s">
        <v>61</v>
      </c>
      <c r="L147" s="8"/>
      <c r="M147" s="8"/>
      <c r="N147" s="8"/>
      <c r="O147" s="108" t="s">
        <v>62</v>
      </c>
      <c r="P147" s="108"/>
      <c r="Q147" s="108"/>
      <c r="R147" s="108"/>
    </row>
    <row r="148" spans="1:18" ht="15.75" customHeight="1">
      <c r="A148" s="112"/>
      <c r="B148" s="108"/>
      <c r="C148" s="112"/>
      <c r="D148" s="108"/>
      <c r="E148" s="108"/>
      <c r="F148" s="107"/>
      <c r="G148" s="107"/>
      <c r="H148" s="107"/>
      <c r="I148" s="108"/>
      <c r="J148" s="15"/>
      <c r="K148" s="30" t="s">
        <v>27</v>
      </c>
      <c r="L148" s="24" t="s">
        <v>28</v>
      </c>
      <c r="M148" s="24" t="s">
        <v>29</v>
      </c>
      <c r="N148" s="24" t="s">
        <v>30</v>
      </c>
      <c r="O148" s="24" t="s">
        <v>31</v>
      </c>
      <c r="P148" s="24" t="s">
        <v>67</v>
      </c>
      <c r="Q148" s="24" t="s">
        <v>33</v>
      </c>
      <c r="R148" s="24" t="s">
        <v>34</v>
      </c>
    </row>
    <row r="149" spans="1:18" ht="21" customHeight="1">
      <c r="A149" s="1">
        <v>45</v>
      </c>
      <c r="B149" s="1" t="s">
        <v>7</v>
      </c>
      <c r="C149" s="5" t="s">
        <v>118</v>
      </c>
      <c r="D149" s="1">
        <v>100</v>
      </c>
      <c r="E149" s="1">
        <v>9.31</v>
      </c>
      <c r="F149" s="85">
        <v>1.3</v>
      </c>
      <c r="G149" s="85">
        <v>4.7</v>
      </c>
      <c r="H149" s="85">
        <v>10.3</v>
      </c>
      <c r="I149" s="1">
        <v>88</v>
      </c>
      <c r="J149" s="1"/>
      <c r="K149" s="1">
        <v>37.299999999999997</v>
      </c>
      <c r="L149" s="1">
        <v>15.2</v>
      </c>
      <c r="M149" s="1">
        <v>27.7</v>
      </c>
      <c r="N149" s="1">
        <v>0.5</v>
      </c>
      <c r="O149" s="1">
        <v>0</v>
      </c>
      <c r="P149" s="1">
        <v>0</v>
      </c>
      <c r="Q149" s="1">
        <v>0</v>
      </c>
      <c r="R149" s="1">
        <v>32.5</v>
      </c>
    </row>
    <row r="150" spans="1:18" ht="17.25" customHeight="1">
      <c r="A150" s="1">
        <v>102</v>
      </c>
      <c r="B150" s="1" t="s">
        <v>8</v>
      </c>
      <c r="C150" s="4" t="s">
        <v>109</v>
      </c>
      <c r="D150" s="32">
        <v>250</v>
      </c>
      <c r="E150" s="1">
        <v>8.7899999999999991</v>
      </c>
      <c r="F150" s="2">
        <f>5.1*250/200</f>
        <v>6.375</v>
      </c>
      <c r="G150" s="2">
        <f>5.4*250/200</f>
        <v>6.75</v>
      </c>
      <c r="H150" s="2">
        <f>23.9*250/200</f>
        <v>29.875</v>
      </c>
      <c r="I150" s="2">
        <f>163.8*250/200</f>
        <v>204.75</v>
      </c>
      <c r="J150" s="71"/>
      <c r="K150" s="2">
        <f>45.8*250/200</f>
        <v>57.25</v>
      </c>
      <c r="L150" s="2">
        <f>35.5*250/200</f>
        <v>44.375</v>
      </c>
      <c r="M150" s="2">
        <v>0</v>
      </c>
      <c r="N150" s="2">
        <f>4.6*250/200</f>
        <v>5.75</v>
      </c>
      <c r="O150" s="2">
        <v>0</v>
      </c>
      <c r="P150" s="2">
        <v>0</v>
      </c>
      <c r="Q150" s="2">
        <v>0</v>
      </c>
      <c r="R150" s="2">
        <f>11.2*250/200</f>
        <v>14</v>
      </c>
    </row>
    <row r="151" spans="1:18" ht="21" customHeight="1">
      <c r="A151" s="32">
        <v>259</v>
      </c>
      <c r="B151" s="32" t="s">
        <v>9</v>
      </c>
      <c r="C151" s="44" t="s">
        <v>119</v>
      </c>
      <c r="D151" s="1">
        <v>280</v>
      </c>
      <c r="E151" s="2">
        <v>175.11</v>
      </c>
      <c r="F151" s="2">
        <v>27.35</v>
      </c>
      <c r="G151" s="2">
        <v>12.48</v>
      </c>
      <c r="H151" s="2">
        <v>33.6</v>
      </c>
      <c r="I151" s="2">
        <v>356.79</v>
      </c>
      <c r="J151" s="71"/>
      <c r="K151" s="2">
        <v>36.33</v>
      </c>
      <c r="L151" s="2">
        <v>76.650000000000006</v>
      </c>
      <c r="M151" s="2">
        <v>393.12</v>
      </c>
      <c r="N151" s="2">
        <v>4.6399999999999997</v>
      </c>
      <c r="O151" s="2">
        <v>28</v>
      </c>
      <c r="P151" s="2">
        <v>0.32</v>
      </c>
      <c r="Q151" s="74">
        <v>0</v>
      </c>
      <c r="R151" s="2">
        <v>10.4</v>
      </c>
    </row>
    <row r="152" spans="1:18" ht="18.75" customHeight="1">
      <c r="A152" s="1">
        <v>349</v>
      </c>
      <c r="B152" s="1" t="s">
        <v>13</v>
      </c>
      <c r="C152" s="4" t="s">
        <v>50</v>
      </c>
      <c r="D152" s="32">
        <v>200</v>
      </c>
      <c r="E152" s="1">
        <v>7.02</v>
      </c>
      <c r="F152" s="2">
        <v>0.6</v>
      </c>
      <c r="G152" s="2">
        <v>0.09</v>
      </c>
      <c r="H152" s="2">
        <v>32.01</v>
      </c>
      <c r="I152" s="2">
        <v>132.80000000000001</v>
      </c>
      <c r="J152" s="49"/>
      <c r="K152" s="2">
        <v>32.479999999999997</v>
      </c>
      <c r="L152" s="2">
        <v>17.46</v>
      </c>
      <c r="M152" s="2">
        <v>23.44</v>
      </c>
      <c r="N152" s="2">
        <v>0.7</v>
      </c>
      <c r="O152" s="2">
        <v>0</v>
      </c>
      <c r="P152" s="2">
        <v>0.02</v>
      </c>
      <c r="Q152" s="2">
        <v>0.26</v>
      </c>
      <c r="R152" s="2">
        <v>0.73</v>
      </c>
    </row>
    <row r="153" spans="1:18" ht="18.75" customHeight="1">
      <c r="A153" s="1"/>
      <c r="B153" s="34" t="s">
        <v>14</v>
      </c>
      <c r="C153" s="4" t="s">
        <v>84</v>
      </c>
      <c r="D153" s="32">
        <v>40</v>
      </c>
      <c r="E153" s="2">
        <v>2.93</v>
      </c>
      <c r="F153" s="2">
        <v>2.2400000000000002</v>
      </c>
      <c r="G153" s="2">
        <v>0.44000000000000006</v>
      </c>
      <c r="H153" s="2">
        <v>19.759999999999998</v>
      </c>
      <c r="I153" s="2">
        <v>91.960000000000008</v>
      </c>
      <c r="J153" s="71"/>
      <c r="K153" s="2">
        <v>9.1999999999999993</v>
      </c>
      <c r="L153" s="2">
        <v>10</v>
      </c>
      <c r="M153" s="2">
        <v>42.4</v>
      </c>
      <c r="N153" s="2">
        <v>1.24</v>
      </c>
      <c r="O153" s="2">
        <v>0</v>
      </c>
      <c r="P153" s="2">
        <v>0.04</v>
      </c>
      <c r="Q153" s="2">
        <v>0</v>
      </c>
      <c r="R153" s="2">
        <v>0</v>
      </c>
    </row>
    <row r="154" spans="1:18" ht="18.75" customHeight="1">
      <c r="A154" s="1"/>
      <c r="B154" s="34" t="s">
        <v>15</v>
      </c>
      <c r="C154" s="27" t="s">
        <v>70</v>
      </c>
      <c r="D154" s="32">
        <v>70</v>
      </c>
      <c r="E154" s="35">
        <v>5.13</v>
      </c>
      <c r="F154" s="2">
        <v>5.53</v>
      </c>
      <c r="G154" s="2">
        <v>0.7</v>
      </c>
      <c r="H154" s="2">
        <v>33.81</v>
      </c>
      <c r="I154" s="2">
        <v>163.66</v>
      </c>
      <c r="J154" s="49"/>
      <c r="K154" s="2">
        <v>16.100000000000001</v>
      </c>
      <c r="L154" s="2">
        <v>23.1</v>
      </c>
      <c r="M154" s="2">
        <v>60.9</v>
      </c>
      <c r="N154" s="2">
        <v>0.77</v>
      </c>
      <c r="O154" s="2">
        <v>0</v>
      </c>
      <c r="P154" s="2">
        <v>7.0000000000000007E-2</v>
      </c>
      <c r="Q154" s="2">
        <v>0</v>
      </c>
      <c r="R154" s="2">
        <v>0</v>
      </c>
    </row>
    <row r="155" spans="1:18" ht="18" customHeight="1">
      <c r="A155" s="114" t="s">
        <v>11</v>
      </c>
      <c r="B155" s="114"/>
      <c r="C155" s="114"/>
      <c r="D155" s="24">
        <f>SUM(D149:D154)</f>
        <v>940</v>
      </c>
      <c r="E155" s="24">
        <f t="shared" ref="E155:R155" si="13">SUM(E149:E154)</f>
        <v>208.29000000000002</v>
      </c>
      <c r="F155" s="13">
        <f t="shared" si="13"/>
        <v>43.395000000000003</v>
      </c>
      <c r="G155" s="13">
        <f t="shared" si="13"/>
        <v>25.16</v>
      </c>
      <c r="H155" s="13">
        <f t="shared" si="13"/>
        <v>159.35499999999999</v>
      </c>
      <c r="I155" s="13">
        <f t="shared" si="13"/>
        <v>1037.96</v>
      </c>
      <c r="J155" s="13">
        <f t="shared" si="13"/>
        <v>0</v>
      </c>
      <c r="K155" s="13">
        <f t="shared" si="13"/>
        <v>188.65999999999997</v>
      </c>
      <c r="L155" s="13">
        <f t="shared" si="13"/>
        <v>186.78500000000003</v>
      </c>
      <c r="M155" s="13">
        <f t="shared" si="13"/>
        <v>547.55999999999995</v>
      </c>
      <c r="N155" s="13">
        <f t="shared" si="13"/>
        <v>13.6</v>
      </c>
      <c r="O155" s="13">
        <f t="shared" si="13"/>
        <v>28</v>
      </c>
      <c r="P155" s="13">
        <f t="shared" si="13"/>
        <v>0.45</v>
      </c>
      <c r="Q155" s="13">
        <f t="shared" si="13"/>
        <v>0.26</v>
      </c>
      <c r="R155" s="13">
        <f t="shared" si="13"/>
        <v>57.629999999999995</v>
      </c>
    </row>
    <row r="156" spans="1:18" ht="18" customHeight="1">
      <c r="A156" s="113" t="s">
        <v>17</v>
      </c>
      <c r="B156" s="113"/>
      <c r="C156" s="113"/>
      <c r="D156" s="113"/>
      <c r="E156" s="13">
        <f>E145+E155</f>
        <v>287.45000000000005</v>
      </c>
      <c r="F156" s="13">
        <f>F145+F155</f>
        <v>63.769000000000005</v>
      </c>
      <c r="G156" s="13">
        <f>G145+G155</f>
        <v>42.92</v>
      </c>
      <c r="H156" s="13">
        <f>H145+H155</f>
        <v>246.08499999999998</v>
      </c>
      <c r="I156" s="13">
        <f>I145+I155</f>
        <v>1625.82</v>
      </c>
      <c r="J156" s="49"/>
      <c r="K156" s="13">
        <f t="shared" ref="K156:R156" si="14">K145+K155</f>
        <v>361.68199999999996</v>
      </c>
      <c r="L156" s="13">
        <f t="shared" si="14"/>
        <v>249.78900000000004</v>
      </c>
      <c r="M156" s="13">
        <f t="shared" si="14"/>
        <v>760.83399999999995</v>
      </c>
      <c r="N156" s="13">
        <f t="shared" si="14"/>
        <v>36.693000000000005</v>
      </c>
      <c r="O156" s="13">
        <f t="shared" si="14"/>
        <v>28.09</v>
      </c>
      <c r="P156" s="13">
        <f t="shared" si="14"/>
        <v>5.3630000000000004</v>
      </c>
      <c r="Q156" s="13">
        <f t="shared" si="14"/>
        <v>3.4959999999999996</v>
      </c>
      <c r="R156" s="13">
        <f t="shared" si="14"/>
        <v>59.489999999999995</v>
      </c>
    </row>
    <row r="157" spans="1:18">
      <c r="A157" s="16"/>
      <c r="B157" s="16"/>
      <c r="C157" s="16"/>
      <c r="D157" s="16"/>
      <c r="E157" s="18"/>
      <c r="F157" s="18"/>
      <c r="G157" s="18"/>
      <c r="H157" s="18"/>
      <c r="I157" s="18"/>
      <c r="J157" s="20"/>
      <c r="K157" s="18"/>
      <c r="L157" s="18"/>
      <c r="M157" s="17"/>
      <c r="N157" s="18"/>
      <c r="O157" s="18"/>
      <c r="P157" s="17"/>
      <c r="Q157" s="19"/>
      <c r="R157" s="18"/>
    </row>
    <row r="158" spans="1:18">
      <c r="A158" s="16"/>
      <c r="B158" s="16"/>
      <c r="C158" s="16"/>
      <c r="D158" s="16"/>
      <c r="E158" s="18"/>
      <c r="F158" s="18"/>
      <c r="G158" s="18"/>
      <c r="H158" s="18"/>
      <c r="I158" s="18"/>
      <c r="J158" s="20"/>
      <c r="K158" s="18"/>
      <c r="L158" s="18"/>
      <c r="M158" s="17"/>
      <c r="N158" s="18"/>
      <c r="O158" s="18"/>
      <c r="P158" s="17"/>
      <c r="Q158" s="19"/>
      <c r="R158" s="18"/>
    </row>
    <row r="159" spans="1:18">
      <c r="A159" s="16"/>
      <c r="B159" s="16"/>
      <c r="C159" s="16"/>
      <c r="D159" s="16"/>
      <c r="E159" s="18"/>
      <c r="F159" s="18"/>
      <c r="G159" s="18"/>
      <c r="H159" s="18"/>
      <c r="I159" s="18"/>
      <c r="J159" s="20"/>
      <c r="K159" s="18"/>
      <c r="L159" s="18"/>
      <c r="M159" s="17"/>
      <c r="N159" s="18"/>
      <c r="O159" s="18"/>
      <c r="P159" s="17"/>
      <c r="Q159" s="19"/>
      <c r="R159" s="18"/>
    </row>
    <row r="160" spans="1:18">
      <c r="A160" s="98" t="s">
        <v>37</v>
      </c>
      <c r="B160" s="98"/>
      <c r="C160" s="98"/>
      <c r="D160" s="16"/>
      <c r="E160" s="18"/>
      <c r="F160" s="18"/>
      <c r="G160" s="18"/>
      <c r="H160" s="18"/>
      <c r="I160" s="18"/>
      <c r="J160" s="20"/>
      <c r="K160" s="18"/>
      <c r="L160" s="18"/>
      <c r="M160" s="102" t="s">
        <v>114</v>
      </c>
      <c r="N160" s="102"/>
      <c r="O160" s="102"/>
      <c r="P160" s="102"/>
      <c r="Q160" s="102"/>
      <c r="R160" s="102"/>
    </row>
    <row r="161" spans="1:18">
      <c r="A161" s="99" t="s">
        <v>49</v>
      </c>
      <c r="B161" s="99"/>
      <c r="C161" s="99"/>
      <c r="D161" s="16"/>
      <c r="E161" s="18"/>
      <c r="F161" s="18"/>
      <c r="G161" s="18"/>
      <c r="H161" s="18"/>
      <c r="I161" s="18"/>
      <c r="J161" s="20"/>
      <c r="K161" s="18"/>
      <c r="L161" s="18"/>
      <c r="M161" s="103" t="s">
        <v>122</v>
      </c>
      <c r="N161" s="103"/>
      <c r="O161" s="103"/>
      <c r="P161" s="103"/>
      <c r="Q161" s="103"/>
      <c r="R161" s="103"/>
    </row>
    <row r="162" spans="1:18">
      <c r="A162" s="100" t="s">
        <v>111</v>
      </c>
      <c r="B162" s="100"/>
      <c r="C162" s="100"/>
      <c r="D162" s="16"/>
      <c r="E162" s="18"/>
      <c r="F162" s="18"/>
      <c r="G162" s="18"/>
      <c r="H162" s="18"/>
      <c r="I162" s="18"/>
      <c r="J162" s="20"/>
      <c r="K162" s="18"/>
      <c r="L162" s="18"/>
      <c r="M162" s="103" t="s">
        <v>117</v>
      </c>
      <c r="N162" s="103"/>
      <c r="O162" s="103"/>
      <c r="P162" s="103"/>
      <c r="Q162" s="103"/>
      <c r="R162" s="103"/>
    </row>
    <row r="163" spans="1:18">
      <c r="A163" s="101" t="s">
        <v>110</v>
      </c>
      <c r="B163" s="101"/>
      <c r="C163" s="101"/>
      <c r="D163" s="16"/>
      <c r="E163" s="18"/>
      <c r="F163" s="18"/>
      <c r="G163" s="18"/>
      <c r="H163" s="18"/>
      <c r="I163" s="18"/>
      <c r="J163" s="20"/>
      <c r="K163" s="18"/>
      <c r="L163" s="18"/>
      <c r="M163" s="104" t="s">
        <v>123</v>
      </c>
      <c r="N163" s="104"/>
      <c r="O163" s="104"/>
      <c r="P163" s="104"/>
      <c r="Q163" s="104"/>
      <c r="R163" s="104"/>
    </row>
    <row r="164" spans="1:18" ht="18.75">
      <c r="A164" s="95" t="s">
        <v>5</v>
      </c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</row>
    <row r="165" spans="1:18" ht="15.75">
      <c r="A165" s="96" t="s">
        <v>6</v>
      </c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</row>
    <row r="166" spans="1:18" ht="15.75">
      <c r="A166" s="97" t="s">
        <v>101</v>
      </c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</row>
    <row r="167" spans="1:18" ht="18" customHeight="1">
      <c r="A167" s="109" t="s">
        <v>42</v>
      </c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1"/>
    </row>
    <row r="168" spans="1:18" ht="18.75" customHeight="1">
      <c r="A168" s="115" t="s">
        <v>4</v>
      </c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</row>
    <row r="169" spans="1:18" ht="18" customHeight="1">
      <c r="A169" s="112" t="s">
        <v>26</v>
      </c>
      <c r="B169" s="108" t="s">
        <v>0</v>
      </c>
      <c r="C169" s="112" t="s">
        <v>35</v>
      </c>
      <c r="D169" s="108" t="s">
        <v>72</v>
      </c>
      <c r="E169" s="108" t="s">
        <v>2</v>
      </c>
      <c r="F169" s="105" t="s">
        <v>58</v>
      </c>
      <c r="G169" s="105" t="s">
        <v>59</v>
      </c>
      <c r="H169" s="105" t="s">
        <v>60</v>
      </c>
      <c r="I169" s="108" t="s">
        <v>3</v>
      </c>
      <c r="J169" s="15"/>
      <c r="K169" s="8" t="s">
        <v>61</v>
      </c>
      <c r="L169" s="8"/>
      <c r="M169" s="8"/>
      <c r="N169" s="8"/>
      <c r="O169" s="108" t="s">
        <v>62</v>
      </c>
      <c r="P169" s="108"/>
      <c r="Q169" s="108"/>
      <c r="R169" s="108"/>
    </row>
    <row r="170" spans="1:18" ht="15" customHeight="1">
      <c r="A170" s="112"/>
      <c r="B170" s="108"/>
      <c r="C170" s="112"/>
      <c r="D170" s="108"/>
      <c r="E170" s="108"/>
      <c r="F170" s="107"/>
      <c r="G170" s="107"/>
      <c r="H170" s="107"/>
      <c r="I170" s="108"/>
      <c r="J170" s="15"/>
      <c r="K170" s="30" t="s">
        <v>27</v>
      </c>
      <c r="L170" s="24" t="s">
        <v>28</v>
      </c>
      <c r="M170" s="24" t="s">
        <v>29</v>
      </c>
      <c r="N170" s="24" t="s">
        <v>30</v>
      </c>
      <c r="O170" s="24" t="s">
        <v>31</v>
      </c>
      <c r="P170" s="24" t="s">
        <v>67</v>
      </c>
      <c r="Q170" s="24" t="s">
        <v>33</v>
      </c>
      <c r="R170" s="24" t="s">
        <v>34</v>
      </c>
    </row>
    <row r="171" spans="1:18" ht="28.5" customHeight="1">
      <c r="A171" s="25">
        <v>175</v>
      </c>
      <c r="B171" s="25" t="s">
        <v>7</v>
      </c>
      <c r="C171" s="43" t="s">
        <v>92</v>
      </c>
      <c r="D171" s="50" t="s">
        <v>79</v>
      </c>
      <c r="E171" s="51">
        <v>34.46</v>
      </c>
      <c r="F171" s="51">
        <f>5.8*250/210</f>
        <v>6.9047619047619051</v>
      </c>
      <c r="G171" s="51">
        <f>10.67*250/210</f>
        <v>12.702380952380953</v>
      </c>
      <c r="H171" s="51">
        <f>41.48*250/210</f>
        <v>49.38095238095238</v>
      </c>
      <c r="I171" s="51">
        <f>286.36*250/210</f>
        <v>340.90476190476193</v>
      </c>
      <c r="J171" s="50">
        <v>195</v>
      </c>
      <c r="K171" s="51">
        <f>127.7*250/210</f>
        <v>152.02380952380952</v>
      </c>
      <c r="L171" s="51">
        <f>35.53*250/210</f>
        <v>42.297619047619051</v>
      </c>
      <c r="M171" s="51">
        <f>149.6*250/210</f>
        <v>178.0952380952381</v>
      </c>
      <c r="N171" s="51">
        <f>0.8*250/210</f>
        <v>0.95238095238095233</v>
      </c>
      <c r="O171" s="51">
        <f>52.31*250/210</f>
        <v>62.273809523809526</v>
      </c>
      <c r="P171" s="51">
        <f>0.1*250/210</f>
        <v>0.11904761904761904</v>
      </c>
      <c r="Q171" s="51">
        <f>0.55*250/210</f>
        <v>0.65476190476190477</v>
      </c>
      <c r="R171" s="35">
        <f>0.92*250/210</f>
        <v>1.0952380952380953</v>
      </c>
    </row>
    <row r="172" spans="1:18" ht="18" customHeight="1">
      <c r="A172" s="48"/>
      <c r="B172" s="1" t="s">
        <v>8</v>
      </c>
      <c r="C172" s="5" t="s">
        <v>66</v>
      </c>
      <c r="D172" s="1">
        <v>80</v>
      </c>
      <c r="E172" s="2">
        <v>5.87</v>
      </c>
      <c r="F172" s="2">
        <v>6.32</v>
      </c>
      <c r="G172" s="2">
        <v>0.8</v>
      </c>
      <c r="H172" s="2">
        <v>38.64</v>
      </c>
      <c r="I172" s="3">
        <v>187</v>
      </c>
      <c r="J172" s="73"/>
      <c r="K172" s="3">
        <v>18.399999999999999</v>
      </c>
      <c r="L172" s="3">
        <v>26.4</v>
      </c>
      <c r="M172" s="3">
        <v>69.599999999999994</v>
      </c>
      <c r="N172" s="2">
        <v>0.88</v>
      </c>
      <c r="O172" s="2">
        <v>0</v>
      </c>
      <c r="P172" s="2">
        <v>0.08</v>
      </c>
      <c r="Q172" s="2">
        <v>0.2</v>
      </c>
      <c r="R172" s="2">
        <v>0.2</v>
      </c>
    </row>
    <row r="173" spans="1:18" ht="18" customHeight="1">
      <c r="A173" s="28">
        <v>15</v>
      </c>
      <c r="B173" s="1" t="s">
        <v>9</v>
      </c>
      <c r="C173" s="27" t="s">
        <v>93</v>
      </c>
      <c r="D173" s="1">
        <v>20</v>
      </c>
      <c r="E173" s="2">
        <v>19.95</v>
      </c>
      <c r="F173" s="35">
        <v>4.6399999999999997</v>
      </c>
      <c r="G173" s="35">
        <v>5.9</v>
      </c>
      <c r="H173" s="75">
        <v>0</v>
      </c>
      <c r="I173" s="35">
        <v>71.66</v>
      </c>
      <c r="J173" s="69"/>
      <c r="K173" s="35">
        <v>176</v>
      </c>
      <c r="L173" s="35">
        <v>7</v>
      </c>
      <c r="M173" s="35">
        <v>100</v>
      </c>
      <c r="N173" s="35">
        <v>0.2</v>
      </c>
      <c r="O173" s="35">
        <v>52</v>
      </c>
      <c r="P173" s="75">
        <v>0</v>
      </c>
      <c r="Q173" s="75">
        <v>0</v>
      </c>
      <c r="R173" s="75">
        <v>0</v>
      </c>
    </row>
    <row r="174" spans="1:18" ht="18" customHeight="1">
      <c r="A174" s="1">
        <v>376</v>
      </c>
      <c r="B174" s="1" t="s">
        <v>13</v>
      </c>
      <c r="C174" s="27" t="s">
        <v>16</v>
      </c>
      <c r="D174" s="1">
        <v>200</v>
      </c>
      <c r="E174" s="2">
        <v>1.89</v>
      </c>
      <c r="F174" s="2">
        <v>0.1</v>
      </c>
      <c r="G174" s="2">
        <v>0</v>
      </c>
      <c r="H174" s="2">
        <v>15</v>
      </c>
      <c r="I174" s="2">
        <v>60</v>
      </c>
      <c r="J174" s="49"/>
      <c r="K174" s="2">
        <v>5</v>
      </c>
      <c r="L174" s="2">
        <v>0</v>
      </c>
      <c r="M174" s="2">
        <v>0</v>
      </c>
      <c r="N174" s="2">
        <v>2</v>
      </c>
      <c r="O174" s="2">
        <v>0</v>
      </c>
      <c r="P174" s="2">
        <v>0</v>
      </c>
      <c r="Q174" s="2">
        <v>0</v>
      </c>
      <c r="R174" s="2">
        <v>0</v>
      </c>
    </row>
    <row r="175" spans="1:18">
      <c r="A175" s="114" t="s">
        <v>11</v>
      </c>
      <c r="B175" s="114"/>
      <c r="C175" s="114"/>
      <c r="D175" s="30">
        <v>560</v>
      </c>
      <c r="E175" s="13">
        <f>SUM(E170:E174)</f>
        <v>62.17</v>
      </c>
      <c r="F175" s="13">
        <f>SUM(F170:F174)</f>
        <v>17.964761904761907</v>
      </c>
      <c r="G175" s="13">
        <f>SUM(G170:G174)</f>
        <v>19.402380952380952</v>
      </c>
      <c r="H175" s="13">
        <f>SUM(H170:H174)</f>
        <v>103.02095238095238</v>
      </c>
      <c r="I175" s="14">
        <f>SUM(I170:I174)</f>
        <v>659.56476190476189</v>
      </c>
      <c r="J175" s="73"/>
      <c r="K175" s="14">
        <f t="shared" ref="K175:R175" si="15">SUM(K171:K174)</f>
        <v>351.4238095238095</v>
      </c>
      <c r="L175" s="14">
        <f t="shared" si="15"/>
        <v>75.697619047619042</v>
      </c>
      <c r="M175" s="14">
        <f t="shared" si="15"/>
        <v>347.6952380952381</v>
      </c>
      <c r="N175" s="13">
        <f t="shared" si="15"/>
        <v>4.0323809523809526</v>
      </c>
      <c r="O175" s="13">
        <f t="shared" si="15"/>
        <v>114.27380952380952</v>
      </c>
      <c r="P175" s="13">
        <f t="shared" si="15"/>
        <v>0.19904761904761903</v>
      </c>
      <c r="Q175" s="13">
        <f t="shared" si="15"/>
        <v>0.85476190476190483</v>
      </c>
      <c r="R175" s="13">
        <f t="shared" si="15"/>
        <v>1.2952380952380953</v>
      </c>
    </row>
    <row r="176" spans="1:18" ht="18" customHeight="1">
      <c r="A176" s="115" t="s">
        <v>12</v>
      </c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</row>
    <row r="177" spans="1:19" ht="18" customHeight="1">
      <c r="A177" s="112" t="s">
        <v>26</v>
      </c>
      <c r="B177" s="108" t="s">
        <v>0</v>
      </c>
      <c r="C177" s="112" t="s">
        <v>35</v>
      </c>
      <c r="D177" s="108" t="s">
        <v>72</v>
      </c>
      <c r="E177" s="108" t="s">
        <v>2</v>
      </c>
      <c r="F177" s="105" t="s">
        <v>58</v>
      </c>
      <c r="G177" s="105" t="s">
        <v>59</v>
      </c>
      <c r="H177" s="105" t="s">
        <v>60</v>
      </c>
      <c r="I177" s="108" t="s">
        <v>3</v>
      </c>
      <c r="J177" s="15"/>
      <c r="K177" s="8" t="s">
        <v>61</v>
      </c>
      <c r="L177" s="8"/>
      <c r="M177" s="8"/>
      <c r="N177" s="8"/>
      <c r="O177" s="108" t="s">
        <v>62</v>
      </c>
      <c r="P177" s="108"/>
      <c r="Q177" s="108"/>
      <c r="R177" s="108"/>
    </row>
    <row r="178" spans="1:19" ht="15" customHeight="1">
      <c r="A178" s="112"/>
      <c r="B178" s="108"/>
      <c r="C178" s="112"/>
      <c r="D178" s="108"/>
      <c r="E178" s="108"/>
      <c r="F178" s="107"/>
      <c r="G178" s="107"/>
      <c r="H178" s="107"/>
      <c r="I178" s="108"/>
      <c r="J178" s="15"/>
      <c r="K178" s="30" t="s">
        <v>27</v>
      </c>
      <c r="L178" s="24" t="s">
        <v>28</v>
      </c>
      <c r="M178" s="24" t="s">
        <v>29</v>
      </c>
      <c r="N178" s="24" t="s">
        <v>30</v>
      </c>
      <c r="O178" s="24" t="s">
        <v>31</v>
      </c>
      <c r="P178" s="24" t="s">
        <v>67</v>
      </c>
      <c r="Q178" s="24" t="s">
        <v>33</v>
      </c>
      <c r="R178" s="24" t="s">
        <v>34</v>
      </c>
    </row>
    <row r="179" spans="1:19" ht="18" customHeight="1">
      <c r="A179" s="28">
        <v>71</v>
      </c>
      <c r="B179" s="1" t="s">
        <v>7</v>
      </c>
      <c r="C179" s="5" t="s">
        <v>77</v>
      </c>
      <c r="D179" s="1">
        <v>100</v>
      </c>
      <c r="E179" s="2">
        <v>18.940000000000001</v>
      </c>
      <c r="F179" s="68">
        <v>0.8</v>
      </c>
      <c r="G179" s="68">
        <v>0</v>
      </c>
      <c r="H179" s="68">
        <v>3.3</v>
      </c>
      <c r="I179" s="2">
        <v>16</v>
      </c>
      <c r="J179" s="70"/>
      <c r="K179" s="2">
        <v>23</v>
      </c>
      <c r="L179" s="2">
        <v>0</v>
      </c>
      <c r="M179" s="2">
        <v>0</v>
      </c>
      <c r="N179" s="2">
        <v>0.5</v>
      </c>
      <c r="O179" s="2">
        <v>0</v>
      </c>
      <c r="P179" s="2">
        <v>0</v>
      </c>
      <c r="Q179" s="2">
        <v>0</v>
      </c>
      <c r="R179" s="2">
        <v>5</v>
      </c>
    </row>
    <row r="180" spans="1:19" ht="18" customHeight="1">
      <c r="A180" s="1">
        <v>104</v>
      </c>
      <c r="B180" s="1" t="s">
        <v>8</v>
      </c>
      <c r="C180" s="4" t="s">
        <v>20</v>
      </c>
      <c r="D180" s="32" t="s">
        <v>97</v>
      </c>
      <c r="E180" s="2">
        <v>41.08</v>
      </c>
      <c r="F180" s="2">
        <f>9*250/200</f>
        <v>11.25</v>
      </c>
      <c r="G180" s="2">
        <f>6.3*250/200</f>
        <v>7.875</v>
      </c>
      <c r="H180" s="2">
        <f>22.1*250/200</f>
        <v>27.625</v>
      </c>
      <c r="I180" s="2">
        <f>180.9*250/200</f>
        <v>226.125</v>
      </c>
      <c r="J180" s="2"/>
      <c r="K180" s="2">
        <f>66.15*250/200</f>
        <v>82.6875</v>
      </c>
      <c r="L180" s="2">
        <f>26.5*250/200</f>
        <v>33.125</v>
      </c>
      <c r="M180" s="2">
        <f>64.1*250/200</f>
        <v>80.124999999999986</v>
      </c>
      <c r="N180" s="2">
        <f>1.38*250/200</f>
        <v>1.7250000000000001</v>
      </c>
      <c r="O180" s="2">
        <f>0.8*250/200</f>
        <v>1</v>
      </c>
      <c r="P180" s="2">
        <f>9.48*250/200</f>
        <v>11.85</v>
      </c>
      <c r="Q180" s="2">
        <f>1.3*250/200</f>
        <v>1.625</v>
      </c>
      <c r="R180" s="2">
        <f>20.03*250/200</f>
        <v>25.037500000000001</v>
      </c>
    </row>
    <row r="181" spans="1:19" ht="18" customHeight="1">
      <c r="A181" s="1">
        <v>229</v>
      </c>
      <c r="B181" s="1" t="s">
        <v>9</v>
      </c>
      <c r="C181" s="6" t="s">
        <v>105</v>
      </c>
      <c r="D181" s="32">
        <v>130</v>
      </c>
      <c r="E181" s="1">
        <v>31.29</v>
      </c>
      <c r="F181" s="2">
        <v>11.83</v>
      </c>
      <c r="G181" s="2">
        <v>6.24</v>
      </c>
      <c r="H181" s="2">
        <v>6.24</v>
      </c>
      <c r="I181" s="2">
        <v>128.69999999999999</v>
      </c>
      <c r="J181" s="71"/>
      <c r="K181" s="2">
        <v>46.14</v>
      </c>
      <c r="L181" s="2">
        <v>44.38</v>
      </c>
      <c r="M181" s="2">
        <v>168.49</v>
      </c>
      <c r="N181" s="2">
        <v>0.86</v>
      </c>
      <c r="O181" s="2">
        <v>1.98</v>
      </c>
      <c r="P181" s="2">
        <v>6.76</v>
      </c>
      <c r="Q181" s="2">
        <v>1.04</v>
      </c>
      <c r="R181" s="2">
        <v>3.12</v>
      </c>
    </row>
    <row r="182" spans="1:19" ht="18" customHeight="1">
      <c r="A182" s="76">
        <v>321</v>
      </c>
      <c r="B182" s="76" t="s">
        <v>13</v>
      </c>
      <c r="C182" s="77" t="s">
        <v>23</v>
      </c>
      <c r="D182" s="47">
        <v>180</v>
      </c>
      <c r="E182" s="52">
        <v>21.49</v>
      </c>
      <c r="F182" s="52">
        <f>4*180/200</f>
        <v>3.6</v>
      </c>
      <c r="G182" s="52">
        <f>7.2*180/200</f>
        <v>6.48</v>
      </c>
      <c r="H182" s="52">
        <f>21.2*180/200</f>
        <v>19.079999999999998</v>
      </c>
      <c r="I182" s="52">
        <f>166*180/200</f>
        <v>149.4</v>
      </c>
      <c r="J182" s="78"/>
      <c r="K182" s="52">
        <f>93.2*180/200</f>
        <v>83.88</v>
      </c>
      <c r="L182" s="52">
        <f>30.7*180/200</f>
        <v>27.63</v>
      </c>
      <c r="M182" s="52">
        <f>62.3*180/200</f>
        <v>56.07</v>
      </c>
      <c r="N182" s="52">
        <f>1.2*180/200</f>
        <v>1.08</v>
      </c>
      <c r="O182" s="52">
        <f>0.4*180/200</f>
        <v>0.36</v>
      </c>
      <c r="P182" s="52">
        <f>19.2*180/200</f>
        <v>17.28</v>
      </c>
      <c r="Q182" s="52">
        <f>1.3*180/200</f>
        <v>1.17</v>
      </c>
      <c r="R182" s="52">
        <f>80.7*180/200</f>
        <v>72.63</v>
      </c>
    </row>
    <row r="183" spans="1:19" ht="18" customHeight="1">
      <c r="A183" s="1"/>
      <c r="B183" s="1" t="s">
        <v>14</v>
      </c>
      <c r="C183" s="27" t="s">
        <v>121</v>
      </c>
      <c r="D183" s="1">
        <v>200</v>
      </c>
      <c r="E183" s="2">
        <v>20</v>
      </c>
      <c r="F183" s="2">
        <v>1</v>
      </c>
      <c r="G183" s="2">
        <v>0</v>
      </c>
      <c r="H183" s="2">
        <v>20.2</v>
      </c>
      <c r="I183" s="2">
        <v>92</v>
      </c>
      <c r="J183" s="79"/>
      <c r="K183" s="2">
        <v>14</v>
      </c>
      <c r="L183" s="2">
        <v>8</v>
      </c>
      <c r="M183" s="2">
        <v>14</v>
      </c>
      <c r="N183" s="2">
        <v>2.8</v>
      </c>
      <c r="O183" s="74">
        <v>0</v>
      </c>
      <c r="P183" s="2">
        <v>0.4</v>
      </c>
      <c r="Q183" s="2">
        <v>0.4</v>
      </c>
      <c r="R183" s="2">
        <v>4</v>
      </c>
      <c r="S183" s="94"/>
    </row>
    <row r="184" spans="1:19" ht="18" customHeight="1">
      <c r="A184" s="1"/>
      <c r="B184" s="1" t="s">
        <v>15</v>
      </c>
      <c r="C184" s="4" t="s">
        <v>84</v>
      </c>
      <c r="D184" s="32">
        <v>40</v>
      </c>
      <c r="E184" s="2">
        <v>2.93</v>
      </c>
      <c r="F184" s="2">
        <v>2.2400000000000002</v>
      </c>
      <c r="G184" s="2">
        <v>0.44000000000000006</v>
      </c>
      <c r="H184" s="2">
        <v>19.759999999999998</v>
      </c>
      <c r="I184" s="2">
        <v>91.960000000000008</v>
      </c>
      <c r="J184" s="70"/>
      <c r="K184" s="2">
        <v>9.1999999999999993</v>
      </c>
      <c r="L184" s="2">
        <v>10</v>
      </c>
      <c r="M184" s="2">
        <v>42.4</v>
      </c>
      <c r="N184" s="2">
        <v>1.24</v>
      </c>
      <c r="O184" s="2">
        <v>0</v>
      </c>
      <c r="P184" s="2">
        <v>0.04</v>
      </c>
      <c r="Q184" s="2">
        <v>0</v>
      </c>
      <c r="R184" s="2">
        <v>0</v>
      </c>
    </row>
    <row r="185" spans="1:19" ht="18" customHeight="1">
      <c r="A185" s="1"/>
      <c r="B185" s="1" t="s">
        <v>68</v>
      </c>
      <c r="C185" s="60" t="s">
        <v>70</v>
      </c>
      <c r="D185" s="32">
        <v>70</v>
      </c>
      <c r="E185" s="35">
        <v>5.13</v>
      </c>
      <c r="F185" s="2">
        <v>5.53</v>
      </c>
      <c r="G185" s="2">
        <v>0.7</v>
      </c>
      <c r="H185" s="2">
        <v>33.81</v>
      </c>
      <c r="I185" s="2">
        <v>163.66</v>
      </c>
      <c r="J185" s="70"/>
      <c r="K185" s="2">
        <v>16.100000000000001</v>
      </c>
      <c r="L185" s="2">
        <v>23.1</v>
      </c>
      <c r="M185" s="2">
        <v>60.9</v>
      </c>
      <c r="N185" s="2">
        <v>0.77</v>
      </c>
      <c r="O185" s="2">
        <v>0</v>
      </c>
      <c r="P185" s="2">
        <v>7.0000000000000007E-2</v>
      </c>
      <c r="Q185" s="2">
        <v>0</v>
      </c>
      <c r="R185" s="2">
        <v>0</v>
      </c>
    </row>
    <row r="186" spans="1:19" ht="18" customHeight="1">
      <c r="A186" s="1">
        <v>386</v>
      </c>
      <c r="B186" s="1" t="s">
        <v>80</v>
      </c>
      <c r="C186" s="60" t="s">
        <v>81</v>
      </c>
      <c r="D186" s="1">
        <v>100</v>
      </c>
      <c r="E186" s="2">
        <v>15.45</v>
      </c>
      <c r="F186" s="2">
        <v>3</v>
      </c>
      <c r="G186" s="2">
        <v>1</v>
      </c>
      <c r="H186" s="2">
        <v>4.2</v>
      </c>
      <c r="I186" s="2">
        <v>40</v>
      </c>
      <c r="J186" s="70"/>
      <c r="K186" s="2">
        <v>124</v>
      </c>
      <c r="L186" s="2">
        <v>14</v>
      </c>
      <c r="M186" s="2">
        <v>92</v>
      </c>
      <c r="N186" s="2">
        <v>0.1</v>
      </c>
      <c r="O186" s="2">
        <v>0</v>
      </c>
      <c r="P186" s="2">
        <v>0.03</v>
      </c>
      <c r="Q186" s="2">
        <v>0.1</v>
      </c>
      <c r="R186" s="2">
        <v>0.3</v>
      </c>
    </row>
    <row r="187" spans="1:19" ht="18" customHeight="1">
      <c r="A187" s="114" t="s">
        <v>11</v>
      </c>
      <c r="B187" s="114"/>
      <c r="C187" s="114"/>
      <c r="D187" s="67">
        <v>1070</v>
      </c>
      <c r="E187" s="13">
        <f t="shared" ref="E187:R187" si="16">SUM(E179:E186)</f>
        <v>156.31</v>
      </c>
      <c r="F187" s="13">
        <f t="shared" si="16"/>
        <v>39.250000000000007</v>
      </c>
      <c r="G187" s="13">
        <f t="shared" si="16"/>
        <v>22.734999999999999</v>
      </c>
      <c r="H187" s="13">
        <f t="shared" si="16"/>
        <v>134.21499999999997</v>
      </c>
      <c r="I187" s="13">
        <f t="shared" si="16"/>
        <v>907.84500000000003</v>
      </c>
      <c r="J187" s="13">
        <f t="shared" si="16"/>
        <v>0</v>
      </c>
      <c r="K187" s="13">
        <f t="shared" si="16"/>
        <v>399.00749999999999</v>
      </c>
      <c r="L187" s="13">
        <f t="shared" si="16"/>
        <v>160.23499999999999</v>
      </c>
      <c r="M187" s="13">
        <f t="shared" si="16"/>
        <v>513.9849999999999</v>
      </c>
      <c r="N187" s="13">
        <f t="shared" si="16"/>
        <v>9.0749999999999993</v>
      </c>
      <c r="O187" s="13">
        <f t="shared" si="16"/>
        <v>3.34</v>
      </c>
      <c r="P187" s="13">
        <f t="shared" si="16"/>
        <v>36.43</v>
      </c>
      <c r="Q187" s="13">
        <f t="shared" si="16"/>
        <v>4.335</v>
      </c>
      <c r="R187" s="13">
        <f t="shared" si="16"/>
        <v>110.08749999999999</v>
      </c>
    </row>
    <row r="188" spans="1:19" ht="18" customHeight="1">
      <c r="A188" s="113" t="s">
        <v>17</v>
      </c>
      <c r="B188" s="113"/>
      <c r="C188" s="113"/>
      <c r="D188" s="113"/>
      <c r="E188" s="13">
        <f>E175+E187</f>
        <v>218.48000000000002</v>
      </c>
      <c r="F188" s="13">
        <f>F175+F187</f>
        <v>57.214761904761914</v>
      </c>
      <c r="G188" s="13">
        <f>G175+G187</f>
        <v>42.137380952380951</v>
      </c>
      <c r="H188" s="13">
        <f>H175+H187</f>
        <v>237.23595238095237</v>
      </c>
      <c r="I188" s="13">
        <f>I175+I187</f>
        <v>1567.409761904762</v>
      </c>
      <c r="J188" s="49"/>
      <c r="K188" s="13">
        <f t="shared" ref="K188:R188" si="17">K175+K187</f>
        <v>750.43130952380943</v>
      </c>
      <c r="L188" s="13">
        <f t="shared" si="17"/>
        <v>235.93261904761903</v>
      </c>
      <c r="M188" s="13">
        <f t="shared" si="17"/>
        <v>861.680238095238</v>
      </c>
      <c r="N188" s="13">
        <f t="shared" si="17"/>
        <v>13.107380952380952</v>
      </c>
      <c r="O188" s="13">
        <f t="shared" si="17"/>
        <v>117.61380952380952</v>
      </c>
      <c r="P188" s="13">
        <f t="shared" si="17"/>
        <v>36.629047619047618</v>
      </c>
      <c r="Q188" s="13">
        <f t="shared" si="17"/>
        <v>5.1897619047619052</v>
      </c>
      <c r="R188" s="13">
        <f t="shared" si="17"/>
        <v>111.38273809523808</v>
      </c>
    </row>
    <row r="189" spans="1:19">
      <c r="A189" s="16"/>
      <c r="B189" s="16"/>
      <c r="C189" s="16"/>
      <c r="D189" s="16"/>
      <c r="E189" s="18"/>
      <c r="F189" s="18"/>
      <c r="G189" s="18"/>
      <c r="H189" s="18"/>
      <c r="I189" s="18"/>
      <c r="J189" s="20"/>
      <c r="K189" s="18"/>
      <c r="L189" s="18"/>
      <c r="M189" s="18"/>
      <c r="N189" s="17"/>
      <c r="O189" s="18"/>
      <c r="P189" s="17"/>
      <c r="Q189" s="17"/>
      <c r="R189" s="18"/>
    </row>
    <row r="190" spans="1:19">
      <c r="A190" s="16"/>
      <c r="B190" s="16"/>
      <c r="C190" s="16"/>
      <c r="D190" s="16"/>
      <c r="E190" s="18"/>
      <c r="F190" s="18"/>
      <c r="G190" s="18"/>
      <c r="H190" s="18"/>
      <c r="I190" s="18"/>
      <c r="J190" s="20"/>
      <c r="K190" s="18"/>
      <c r="L190" s="18"/>
      <c r="M190" s="18"/>
      <c r="N190" s="17"/>
      <c r="O190" s="18"/>
      <c r="P190" s="17"/>
      <c r="Q190" s="17"/>
      <c r="R190" s="18"/>
    </row>
    <row r="191" spans="1:19">
      <c r="A191" s="16"/>
      <c r="B191" s="16"/>
      <c r="C191" s="16"/>
      <c r="D191" s="16"/>
      <c r="E191" s="18"/>
      <c r="F191" s="18"/>
      <c r="G191" s="18"/>
      <c r="H191" s="18"/>
      <c r="I191" s="18"/>
      <c r="J191" s="20"/>
      <c r="K191" s="18"/>
      <c r="L191" s="18"/>
      <c r="M191" s="18"/>
      <c r="N191" s="17"/>
      <c r="O191" s="18"/>
      <c r="P191" s="17"/>
      <c r="Q191" s="17"/>
      <c r="R191" s="18"/>
    </row>
    <row r="192" spans="1:19">
      <c r="A192" s="98" t="s">
        <v>37</v>
      </c>
      <c r="B192" s="98"/>
      <c r="C192" s="98"/>
      <c r="D192" s="16"/>
      <c r="E192" s="18"/>
      <c r="F192" s="18"/>
      <c r="G192" s="18"/>
      <c r="H192" s="18"/>
      <c r="I192" s="18"/>
      <c r="J192" s="20"/>
      <c r="K192" s="18"/>
      <c r="L192" s="18"/>
      <c r="M192" s="102" t="s">
        <v>114</v>
      </c>
      <c r="N192" s="102"/>
      <c r="O192" s="102"/>
      <c r="P192" s="102"/>
      <c r="Q192" s="102"/>
      <c r="R192" s="102"/>
    </row>
    <row r="193" spans="1:18">
      <c r="A193" s="99" t="s">
        <v>49</v>
      </c>
      <c r="B193" s="99"/>
      <c r="C193" s="99"/>
      <c r="D193" s="16"/>
      <c r="E193" s="18"/>
      <c r="F193" s="18"/>
      <c r="G193" s="18"/>
      <c r="H193" s="18"/>
      <c r="I193" s="18"/>
      <c r="J193" s="20"/>
      <c r="K193" s="18"/>
      <c r="L193" s="18"/>
      <c r="M193" s="103" t="s">
        <v>122</v>
      </c>
      <c r="N193" s="103"/>
      <c r="O193" s="103"/>
      <c r="P193" s="103"/>
      <c r="Q193" s="103"/>
      <c r="R193" s="103"/>
    </row>
    <row r="194" spans="1:18">
      <c r="A194" s="100" t="s">
        <v>111</v>
      </c>
      <c r="B194" s="100"/>
      <c r="C194" s="100"/>
      <c r="D194" s="16"/>
      <c r="E194" s="18"/>
      <c r="F194" s="18"/>
      <c r="G194" s="18"/>
      <c r="H194" s="18"/>
      <c r="I194" s="18"/>
      <c r="J194" s="20"/>
      <c r="K194" s="18"/>
      <c r="L194" s="18"/>
      <c r="M194" s="103" t="s">
        <v>117</v>
      </c>
      <c r="N194" s="103"/>
      <c r="O194" s="103"/>
      <c r="P194" s="103"/>
      <c r="Q194" s="103"/>
      <c r="R194" s="103"/>
    </row>
    <row r="195" spans="1:18">
      <c r="A195" s="101" t="s">
        <v>110</v>
      </c>
      <c r="B195" s="101"/>
      <c r="C195" s="101"/>
      <c r="D195" s="16"/>
      <c r="E195" s="18"/>
      <c r="F195" s="18"/>
      <c r="G195" s="18"/>
      <c r="H195" s="18"/>
      <c r="I195" s="18"/>
      <c r="J195" s="20"/>
      <c r="K195" s="18"/>
      <c r="L195" s="18"/>
      <c r="M195" s="104" t="s">
        <v>123</v>
      </c>
      <c r="N195" s="104"/>
      <c r="O195" s="104"/>
      <c r="P195" s="104"/>
      <c r="Q195" s="104"/>
      <c r="R195" s="104"/>
    </row>
    <row r="196" spans="1:18" ht="18.75">
      <c r="A196" s="95" t="s">
        <v>5</v>
      </c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</row>
    <row r="197" spans="1:18" ht="15.75">
      <c r="A197" s="96" t="s">
        <v>6</v>
      </c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</row>
    <row r="198" spans="1:18" ht="15.75">
      <c r="A198" s="97" t="s">
        <v>101</v>
      </c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</row>
    <row r="199" spans="1:18" ht="18" customHeight="1">
      <c r="A199" s="120" t="s">
        <v>43</v>
      </c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</row>
    <row r="200" spans="1:18" ht="18.75" customHeight="1">
      <c r="A200" s="115" t="s">
        <v>4</v>
      </c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</row>
    <row r="201" spans="1:18" ht="18" customHeight="1">
      <c r="A201" s="112" t="s">
        <v>26</v>
      </c>
      <c r="B201" s="108" t="s">
        <v>0</v>
      </c>
      <c r="C201" s="112" t="s">
        <v>35</v>
      </c>
      <c r="D201" s="108" t="s">
        <v>72</v>
      </c>
      <c r="E201" s="108" t="s">
        <v>2</v>
      </c>
      <c r="F201" s="112" t="s">
        <v>58</v>
      </c>
      <c r="G201" s="112" t="s">
        <v>59</v>
      </c>
      <c r="H201" s="112" t="s">
        <v>60</v>
      </c>
      <c r="I201" s="108" t="s">
        <v>3</v>
      </c>
      <c r="J201" s="15"/>
      <c r="K201" s="8" t="s">
        <v>61</v>
      </c>
      <c r="L201" s="8"/>
      <c r="M201" s="8"/>
      <c r="N201" s="8"/>
      <c r="O201" s="108" t="s">
        <v>62</v>
      </c>
      <c r="P201" s="108"/>
      <c r="Q201" s="108"/>
      <c r="R201" s="108"/>
    </row>
    <row r="202" spans="1:18" ht="15" customHeight="1">
      <c r="A202" s="112"/>
      <c r="B202" s="108"/>
      <c r="C202" s="112"/>
      <c r="D202" s="108"/>
      <c r="E202" s="108"/>
      <c r="F202" s="112"/>
      <c r="G202" s="112"/>
      <c r="H202" s="112"/>
      <c r="I202" s="108"/>
      <c r="J202" s="15"/>
      <c r="K202" s="82" t="s">
        <v>27</v>
      </c>
      <c r="L202" s="83" t="s">
        <v>28</v>
      </c>
      <c r="M202" s="83" t="s">
        <v>29</v>
      </c>
      <c r="N202" s="83" t="s">
        <v>30</v>
      </c>
      <c r="O202" s="83" t="s">
        <v>31</v>
      </c>
      <c r="P202" s="83" t="s">
        <v>67</v>
      </c>
      <c r="Q202" s="83" t="s">
        <v>33</v>
      </c>
      <c r="R202" s="83" t="s">
        <v>34</v>
      </c>
    </row>
    <row r="203" spans="1:18" ht="18" customHeight="1">
      <c r="A203" s="1">
        <v>219</v>
      </c>
      <c r="B203" s="1" t="s">
        <v>7</v>
      </c>
      <c r="C203" s="45" t="s">
        <v>124</v>
      </c>
      <c r="D203" s="32" t="s">
        <v>125</v>
      </c>
      <c r="E203" s="2">
        <v>124.33</v>
      </c>
      <c r="F203" s="2">
        <v>33.94</v>
      </c>
      <c r="G203" s="2">
        <v>28.19</v>
      </c>
      <c r="H203" s="2">
        <v>53.88</v>
      </c>
      <c r="I203" s="2">
        <v>606.57000000000005</v>
      </c>
      <c r="J203" s="49"/>
      <c r="K203" s="2">
        <v>442.2</v>
      </c>
      <c r="L203" s="2">
        <v>57.64</v>
      </c>
      <c r="M203" s="2">
        <v>493.05</v>
      </c>
      <c r="N203" s="2">
        <v>1.19</v>
      </c>
      <c r="O203" s="2">
        <v>115.97</v>
      </c>
      <c r="P203" s="2">
        <v>0.06</v>
      </c>
      <c r="Q203" s="2">
        <v>0.45</v>
      </c>
      <c r="R203" s="2">
        <v>1.04</v>
      </c>
    </row>
    <row r="204" spans="1:18" ht="18" customHeight="1">
      <c r="A204" s="1">
        <v>376</v>
      </c>
      <c r="B204" s="1" t="s">
        <v>8</v>
      </c>
      <c r="C204" s="31" t="s">
        <v>16</v>
      </c>
      <c r="D204" s="1">
        <v>200</v>
      </c>
      <c r="E204" s="2">
        <v>1.88</v>
      </c>
      <c r="F204" s="2">
        <v>0.1</v>
      </c>
      <c r="G204" s="2">
        <v>0</v>
      </c>
      <c r="H204" s="2">
        <v>15</v>
      </c>
      <c r="I204" s="2">
        <v>60</v>
      </c>
      <c r="J204" s="49"/>
      <c r="K204" s="2">
        <v>5</v>
      </c>
      <c r="L204" s="2">
        <v>0</v>
      </c>
      <c r="M204" s="2">
        <v>0</v>
      </c>
      <c r="N204" s="2">
        <v>2</v>
      </c>
      <c r="O204" s="2">
        <v>0</v>
      </c>
      <c r="P204" s="2">
        <v>0</v>
      </c>
      <c r="Q204" s="2">
        <v>0</v>
      </c>
      <c r="R204" s="2">
        <v>0</v>
      </c>
    </row>
    <row r="205" spans="1:18" ht="18" customHeight="1">
      <c r="A205" s="63"/>
      <c r="B205" s="32" t="s">
        <v>9</v>
      </c>
      <c r="C205" s="87" t="s">
        <v>126</v>
      </c>
      <c r="D205" s="32">
        <v>160</v>
      </c>
      <c r="E205" s="35">
        <v>48</v>
      </c>
      <c r="F205" s="35">
        <v>1.28</v>
      </c>
      <c r="G205" s="32">
        <v>0</v>
      </c>
      <c r="H205" s="35">
        <v>21.33</v>
      </c>
      <c r="I205" s="35">
        <v>84.8</v>
      </c>
      <c r="J205" s="88"/>
      <c r="K205" s="35">
        <v>59.2</v>
      </c>
      <c r="L205" s="35">
        <v>19.2</v>
      </c>
      <c r="M205" s="75">
        <v>0</v>
      </c>
      <c r="N205" s="35">
        <v>1.28</v>
      </c>
      <c r="O205" s="75">
        <v>0</v>
      </c>
      <c r="P205" s="35">
        <v>0.32</v>
      </c>
      <c r="Q205" s="75">
        <v>0</v>
      </c>
      <c r="R205" s="35">
        <v>0.53</v>
      </c>
    </row>
    <row r="206" spans="1:18" ht="21" customHeight="1">
      <c r="A206" s="114" t="s">
        <v>11</v>
      </c>
      <c r="B206" s="114"/>
      <c r="C206" s="114"/>
      <c r="D206" s="83">
        <v>580</v>
      </c>
      <c r="E206" s="13">
        <f t="shared" ref="E206:R206" si="18">SUM(E203:E205)</f>
        <v>174.20999999999998</v>
      </c>
      <c r="F206" s="13">
        <f t="shared" si="18"/>
        <v>35.32</v>
      </c>
      <c r="G206" s="13">
        <f t="shared" si="18"/>
        <v>28.19</v>
      </c>
      <c r="H206" s="13">
        <f t="shared" si="18"/>
        <v>90.21</v>
      </c>
      <c r="I206" s="13">
        <f t="shared" si="18"/>
        <v>751.37</v>
      </c>
      <c r="J206" s="13">
        <f t="shared" si="18"/>
        <v>0</v>
      </c>
      <c r="K206" s="13">
        <f t="shared" si="18"/>
        <v>506.4</v>
      </c>
      <c r="L206" s="13">
        <f t="shared" si="18"/>
        <v>76.84</v>
      </c>
      <c r="M206" s="13">
        <f t="shared" si="18"/>
        <v>493.05</v>
      </c>
      <c r="N206" s="13">
        <f t="shared" si="18"/>
        <v>4.47</v>
      </c>
      <c r="O206" s="13">
        <f t="shared" si="18"/>
        <v>115.97</v>
      </c>
      <c r="P206" s="13">
        <f t="shared" si="18"/>
        <v>0.38</v>
      </c>
      <c r="Q206" s="13">
        <f t="shared" si="18"/>
        <v>0.45</v>
      </c>
      <c r="R206" s="13">
        <f t="shared" si="18"/>
        <v>1.57</v>
      </c>
    </row>
    <row r="207" spans="1:18" ht="21.75" customHeight="1">
      <c r="A207" s="115" t="s">
        <v>12</v>
      </c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</row>
    <row r="208" spans="1:18" ht="18" customHeight="1">
      <c r="A208" s="112" t="s">
        <v>26</v>
      </c>
      <c r="B208" s="108" t="s">
        <v>0</v>
      </c>
      <c r="C208" s="112" t="s">
        <v>35</v>
      </c>
      <c r="D208" s="108" t="s">
        <v>72</v>
      </c>
      <c r="E208" s="108" t="s">
        <v>2</v>
      </c>
      <c r="F208" s="112" t="s">
        <v>58</v>
      </c>
      <c r="G208" s="112" t="s">
        <v>59</v>
      </c>
      <c r="H208" s="112" t="s">
        <v>60</v>
      </c>
      <c r="I208" s="108" t="s">
        <v>3</v>
      </c>
      <c r="J208" s="15"/>
      <c r="K208" s="8" t="s">
        <v>61</v>
      </c>
      <c r="L208" s="8"/>
      <c r="M208" s="8"/>
      <c r="N208" s="8"/>
      <c r="O208" s="108" t="s">
        <v>62</v>
      </c>
      <c r="P208" s="108"/>
      <c r="Q208" s="108"/>
      <c r="R208" s="108"/>
    </row>
    <row r="209" spans="1:18" ht="15" customHeight="1">
      <c r="A209" s="112"/>
      <c r="B209" s="108"/>
      <c r="C209" s="112"/>
      <c r="D209" s="108"/>
      <c r="E209" s="108"/>
      <c r="F209" s="112"/>
      <c r="G209" s="112"/>
      <c r="H209" s="112"/>
      <c r="I209" s="108"/>
      <c r="J209" s="15"/>
      <c r="K209" s="82" t="s">
        <v>27</v>
      </c>
      <c r="L209" s="83" t="s">
        <v>28</v>
      </c>
      <c r="M209" s="83" t="s">
        <v>29</v>
      </c>
      <c r="N209" s="83" t="s">
        <v>30</v>
      </c>
      <c r="O209" s="83" t="s">
        <v>31</v>
      </c>
      <c r="P209" s="83" t="s">
        <v>67</v>
      </c>
      <c r="Q209" s="83" t="s">
        <v>33</v>
      </c>
      <c r="R209" s="83" t="s">
        <v>34</v>
      </c>
    </row>
    <row r="210" spans="1:18" ht="18" customHeight="1">
      <c r="A210" s="1">
        <v>45</v>
      </c>
      <c r="B210" s="1" t="s">
        <v>7</v>
      </c>
      <c r="C210" s="5" t="s">
        <v>118</v>
      </c>
      <c r="D210" s="1">
        <v>100</v>
      </c>
      <c r="E210" s="1">
        <v>9.31</v>
      </c>
      <c r="F210" s="85">
        <v>1.3</v>
      </c>
      <c r="G210" s="85">
        <v>4.7</v>
      </c>
      <c r="H210" s="85">
        <v>10.3</v>
      </c>
      <c r="I210" s="1">
        <v>88</v>
      </c>
      <c r="J210" s="1"/>
      <c r="K210" s="1">
        <v>37.299999999999997</v>
      </c>
      <c r="L210" s="1">
        <v>15.2</v>
      </c>
      <c r="M210" s="1">
        <v>27.7</v>
      </c>
      <c r="N210" s="1">
        <v>0.5</v>
      </c>
      <c r="O210" s="1">
        <v>0</v>
      </c>
      <c r="P210" s="1">
        <v>0</v>
      </c>
      <c r="Q210" s="1">
        <v>0</v>
      </c>
      <c r="R210" s="1">
        <v>32.5</v>
      </c>
    </row>
    <row r="211" spans="1:18" ht="18.75" customHeight="1">
      <c r="A211" s="1">
        <v>101</v>
      </c>
      <c r="B211" s="1" t="s">
        <v>8</v>
      </c>
      <c r="C211" s="5" t="s">
        <v>47</v>
      </c>
      <c r="D211" s="1">
        <v>250</v>
      </c>
      <c r="E211" s="2">
        <v>9.85</v>
      </c>
      <c r="F211" s="2">
        <f>2*250/200</f>
        <v>2.5</v>
      </c>
      <c r="G211" s="2">
        <f>2.7*250/200</f>
        <v>3.375</v>
      </c>
      <c r="H211" s="2">
        <f>20.9*250/200</f>
        <v>26.125</v>
      </c>
      <c r="I211" s="2">
        <f>116.3*250/200</f>
        <v>145.375</v>
      </c>
      <c r="J211" s="70"/>
      <c r="K211" s="2">
        <f>23.1*250/200</f>
        <v>28.875</v>
      </c>
      <c r="L211" s="2">
        <f>25*250/200</f>
        <v>31.25</v>
      </c>
      <c r="M211" s="2">
        <f>62.6*250/200</f>
        <v>78.25</v>
      </c>
      <c r="N211" s="2">
        <f>0.9*250/200</f>
        <v>1.125</v>
      </c>
      <c r="O211" s="2">
        <v>0</v>
      </c>
      <c r="P211" s="2">
        <f>0.1*250/200</f>
        <v>0.125</v>
      </c>
      <c r="Q211" s="2">
        <v>0</v>
      </c>
      <c r="R211" s="2">
        <f>8.25*250/200</f>
        <v>10.3125</v>
      </c>
    </row>
    <row r="212" spans="1:18" ht="18" customHeight="1">
      <c r="A212" s="1">
        <v>260</v>
      </c>
      <c r="B212" s="1" t="s">
        <v>9</v>
      </c>
      <c r="C212" s="6" t="s">
        <v>102</v>
      </c>
      <c r="D212" s="32" t="s">
        <v>103</v>
      </c>
      <c r="E212" s="1">
        <v>156.65</v>
      </c>
      <c r="F212" s="1">
        <f>23.1*100/150</f>
        <v>15.4</v>
      </c>
      <c r="G212" s="3">
        <f>9.6*100/150</f>
        <v>6.4</v>
      </c>
      <c r="H212" s="1">
        <f>5.7*100/150</f>
        <v>3.8</v>
      </c>
      <c r="I212" s="3">
        <f>201*100/150</f>
        <v>134</v>
      </c>
      <c r="J212" s="79"/>
      <c r="K212" s="3">
        <f>23.7*100/150</f>
        <v>15.8</v>
      </c>
      <c r="L212" s="3">
        <f>25.2*100/150</f>
        <v>16.8</v>
      </c>
      <c r="M212" s="3">
        <f>188.4*100/150</f>
        <v>125.6</v>
      </c>
      <c r="N212" s="3">
        <f>2.1*100/150</f>
        <v>1.4</v>
      </c>
      <c r="O212" s="74">
        <v>0</v>
      </c>
      <c r="P212" s="3">
        <v>0.3</v>
      </c>
      <c r="Q212" s="74">
        <v>0</v>
      </c>
      <c r="R212" s="3">
        <v>1.2</v>
      </c>
    </row>
    <row r="213" spans="1:18" ht="18" customHeight="1">
      <c r="A213" s="1">
        <v>309</v>
      </c>
      <c r="B213" s="32" t="s">
        <v>13</v>
      </c>
      <c r="C213" s="44" t="s">
        <v>91</v>
      </c>
      <c r="D213" s="32">
        <v>180</v>
      </c>
      <c r="E213" s="2">
        <v>14.42</v>
      </c>
      <c r="F213" s="2">
        <f>5.52*180/150</f>
        <v>6.6239999999999997</v>
      </c>
      <c r="G213" s="2">
        <f>4.5*180/150</f>
        <v>5.4</v>
      </c>
      <c r="H213" s="2">
        <f>26.45*180/150</f>
        <v>31.74</v>
      </c>
      <c r="I213" s="2">
        <f>168.45*180/150</f>
        <v>202.14</v>
      </c>
      <c r="J213" s="57"/>
      <c r="K213" s="2">
        <f>4.86*180/150</f>
        <v>5.8320000000000007</v>
      </c>
      <c r="L213" s="2">
        <f>21.12*180/150</f>
        <v>25.344000000000001</v>
      </c>
      <c r="M213" s="2">
        <f>37.17*180/150</f>
        <v>44.603999999999999</v>
      </c>
      <c r="N213" s="2">
        <f>1.1025*180/150</f>
        <v>1.3230000000000002</v>
      </c>
      <c r="O213" s="2">
        <v>0</v>
      </c>
      <c r="P213" s="2">
        <f>0.0525*180/150</f>
        <v>6.3E-2</v>
      </c>
      <c r="Q213" s="2">
        <f>0.78*180/150</f>
        <v>0.93600000000000005</v>
      </c>
      <c r="R213" s="2">
        <v>0</v>
      </c>
    </row>
    <row r="214" spans="1:18" ht="18" customHeight="1">
      <c r="A214" s="1">
        <v>1041</v>
      </c>
      <c r="B214" s="1" t="s">
        <v>14</v>
      </c>
      <c r="C214" s="27" t="s">
        <v>54</v>
      </c>
      <c r="D214" s="1">
        <v>200</v>
      </c>
      <c r="E214" s="2">
        <v>8.36</v>
      </c>
      <c r="F214" s="2">
        <v>0.1</v>
      </c>
      <c r="G214" s="2">
        <v>0</v>
      </c>
      <c r="H214" s="2">
        <v>27.1</v>
      </c>
      <c r="I214" s="2">
        <v>108.6</v>
      </c>
      <c r="J214" s="57"/>
      <c r="K214" s="2">
        <v>23.52</v>
      </c>
      <c r="L214" s="2">
        <v>0</v>
      </c>
      <c r="M214" s="2">
        <v>0</v>
      </c>
      <c r="N214" s="2">
        <v>0.24</v>
      </c>
      <c r="O214" s="2">
        <v>0</v>
      </c>
      <c r="P214" s="2">
        <v>0.03</v>
      </c>
      <c r="Q214" s="2">
        <v>0</v>
      </c>
      <c r="R214" s="2">
        <v>12.9</v>
      </c>
    </row>
    <row r="215" spans="1:18" ht="18" customHeight="1">
      <c r="A215" s="1"/>
      <c r="B215" s="1" t="s">
        <v>15</v>
      </c>
      <c r="C215" s="4" t="s">
        <v>84</v>
      </c>
      <c r="D215" s="32">
        <v>40</v>
      </c>
      <c r="E215" s="2">
        <v>2.93</v>
      </c>
      <c r="F215" s="2">
        <v>2.2400000000000002</v>
      </c>
      <c r="G215" s="2">
        <v>0.44000000000000006</v>
      </c>
      <c r="H215" s="2">
        <v>19.759999999999998</v>
      </c>
      <c r="I215" s="2">
        <v>91.960000000000008</v>
      </c>
      <c r="J215" s="49"/>
      <c r="K215" s="2">
        <v>9.1999999999999993</v>
      </c>
      <c r="L215" s="2">
        <v>10</v>
      </c>
      <c r="M215" s="2">
        <v>42.4</v>
      </c>
      <c r="N215" s="2">
        <v>1.24</v>
      </c>
      <c r="O215" s="2">
        <v>0</v>
      </c>
      <c r="P215" s="2">
        <v>0.04</v>
      </c>
      <c r="Q215" s="2">
        <v>0</v>
      </c>
      <c r="R215" s="2">
        <v>0</v>
      </c>
    </row>
    <row r="216" spans="1:18" ht="18" customHeight="1">
      <c r="A216" s="1"/>
      <c r="B216" s="1" t="s">
        <v>68</v>
      </c>
      <c r="C216" s="60" t="s">
        <v>70</v>
      </c>
      <c r="D216" s="32">
        <v>70</v>
      </c>
      <c r="E216" s="35">
        <v>5.13</v>
      </c>
      <c r="F216" s="2">
        <v>5.53</v>
      </c>
      <c r="G216" s="2">
        <v>0.7</v>
      </c>
      <c r="H216" s="2">
        <v>33.81</v>
      </c>
      <c r="I216" s="2">
        <v>163.66</v>
      </c>
      <c r="J216" s="49"/>
      <c r="K216" s="2">
        <v>16.100000000000001</v>
      </c>
      <c r="L216" s="2">
        <v>23.1</v>
      </c>
      <c r="M216" s="2">
        <v>60.9</v>
      </c>
      <c r="N216" s="2">
        <v>0.77</v>
      </c>
      <c r="O216" s="2">
        <v>0</v>
      </c>
      <c r="P216" s="2">
        <v>7.0000000000000007E-2</v>
      </c>
      <c r="Q216" s="2">
        <v>0</v>
      </c>
      <c r="R216" s="2">
        <v>0</v>
      </c>
    </row>
    <row r="217" spans="1:18" ht="18" customHeight="1">
      <c r="A217" s="1">
        <v>386</v>
      </c>
      <c r="B217" s="1" t="s">
        <v>80</v>
      </c>
      <c r="C217" s="27" t="s">
        <v>82</v>
      </c>
      <c r="D217" s="1">
        <v>100</v>
      </c>
      <c r="E217" s="2">
        <v>15.45</v>
      </c>
      <c r="F217" s="2">
        <v>2.7</v>
      </c>
      <c r="G217" s="2">
        <v>2.5</v>
      </c>
      <c r="H217" s="2">
        <v>10.8</v>
      </c>
      <c r="I217" s="2">
        <v>79</v>
      </c>
      <c r="J217" s="49"/>
      <c r="K217" s="2">
        <v>121</v>
      </c>
      <c r="L217" s="2">
        <v>15</v>
      </c>
      <c r="M217" s="2">
        <v>94</v>
      </c>
      <c r="N217" s="2">
        <v>0.1</v>
      </c>
      <c r="O217" s="2">
        <v>20</v>
      </c>
      <c r="P217" s="2">
        <v>4.4999999999999998E-2</v>
      </c>
      <c r="Q217" s="2">
        <v>0.1</v>
      </c>
      <c r="R217" s="2">
        <v>1.35</v>
      </c>
    </row>
    <row r="218" spans="1:18" ht="18" customHeight="1">
      <c r="A218" s="114" t="s">
        <v>11</v>
      </c>
      <c r="B218" s="114"/>
      <c r="C218" s="114"/>
      <c r="D218" s="64">
        <v>1070</v>
      </c>
      <c r="E218" s="13">
        <f t="shared" ref="E218:R218" si="19">SUM(E210:E217)</f>
        <v>222.09999999999997</v>
      </c>
      <c r="F218" s="13">
        <f t="shared" si="19"/>
        <v>36.394000000000005</v>
      </c>
      <c r="G218" s="13">
        <f t="shared" si="19"/>
        <v>23.515000000000001</v>
      </c>
      <c r="H218" s="13">
        <f t="shared" si="19"/>
        <v>163.435</v>
      </c>
      <c r="I218" s="13">
        <f t="shared" si="19"/>
        <v>1012.735</v>
      </c>
      <c r="J218" s="13">
        <f t="shared" si="19"/>
        <v>0</v>
      </c>
      <c r="K218" s="13">
        <f t="shared" si="19"/>
        <v>257.62699999999995</v>
      </c>
      <c r="L218" s="13">
        <f t="shared" si="19"/>
        <v>136.69399999999999</v>
      </c>
      <c r="M218" s="13">
        <f t="shared" si="19"/>
        <v>473.45399999999995</v>
      </c>
      <c r="N218" s="13">
        <f t="shared" si="19"/>
        <v>6.6980000000000004</v>
      </c>
      <c r="O218" s="13">
        <f t="shared" si="19"/>
        <v>20</v>
      </c>
      <c r="P218" s="13">
        <f t="shared" si="19"/>
        <v>0.67300000000000015</v>
      </c>
      <c r="Q218" s="13">
        <f t="shared" si="19"/>
        <v>1.036</v>
      </c>
      <c r="R218" s="13">
        <f t="shared" si="19"/>
        <v>58.262500000000003</v>
      </c>
    </row>
    <row r="219" spans="1:18" ht="18" customHeight="1">
      <c r="A219" s="113" t="s">
        <v>17</v>
      </c>
      <c r="B219" s="113"/>
      <c r="C219" s="113"/>
      <c r="D219" s="113"/>
      <c r="E219" s="13">
        <f t="shared" ref="E219:R219" si="20">E206+E218</f>
        <v>396.30999999999995</v>
      </c>
      <c r="F219" s="13">
        <f t="shared" si="20"/>
        <v>71.713999999999999</v>
      </c>
      <c r="G219" s="13">
        <f t="shared" si="20"/>
        <v>51.704999999999998</v>
      </c>
      <c r="H219" s="13">
        <f t="shared" si="20"/>
        <v>253.64499999999998</v>
      </c>
      <c r="I219" s="13">
        <f t="shared" si="20"/>
        <v>1764.105</v>
      </c>
      <c r="J219" s="13">
        <f t="shared" si="20"/>
        <v>0</v>
      </c>
      <c r="K219" s="13">
        <f t="shared" si="20"/>
        <v>764.02699999999993</v>
      </c>
      <c r="L219" s="13">
        <f t="shared" si="20"/>
        <v>213.53399999999999</v>
      </c>
      <c r="M219" s="13">
        <f t="shared" si="20"/>
        <v>966.50399999999991</v>
      </c>
      <c r="N219" s="13">
        <f t="shared" si="20"/>
        <v>11.167999999999999</v>
      </c>
      <c r="O219" s="13">
        <f t="shared" si="20"/>
        <v>135.97</v>
      </c>
      <c r="P219" s="13">
        <f t="shared" si="20"/>
        <v>1.0530000000000002</v>
      </c>
      <c r="Q219" s="13">
        <f t="shared" si="20"/>
        <v>1.486</v>
      </c>
      <c r="R219" s="13">
        <f t="shared" si="20"/>
        <v>59.832500000000003</v>
      </c>
    </row>
    <row r="220" spans="1:18">
      <c r="A220" s="16"/>
      <c r="B220" s="16"/>
      <c r="C220" s="16"/>
      <c r="D220" s="16"/>
      <c r="E220" s="18"/>
      <c r="F220" s="18"/>
      <c r="G220" s="18"/>
      <c r="H220" s="18"/>
      <c r="I220" s="18"/>
      <c r="J220" s="20"/>
      <c r="K220" s="17"/>
      <c r="L220" s="18"/>
      <c r="M220" s="18"/>
      <c r="N220" s="17"/>
      <c r="O220" s="17"/>
      <c r="P220" s="17"/>
      <c r="Q220" s="21"/>
      <c r="R220" s="18"/>
    </row>
    <row r="221" spans="1:18">
      <c r="A221" s="16"/>
      <c r="B221" s="16"/>
      <c r="C221" s="16"/>
      <c r="D221" s="16"/>
      <c r="E221" s="18"/>
      <c r="F221" s="18"/>
      <c r="G221" s="18"/>
      <c r="H221" s="18"/>
      <c r="I221" s="18"/>
      <c r="J221" s="20"/>
      <c r="K221" s="17"/>
      <c r="L221" s="18"/>
      <c r="M221" s="18"/>
      <c r="N221" s="17"/>
      <c r="O221" s="17"/>
      <c r="P221" s="17"/>
      <c r="Q221" s="21"/>
      <c r="R221" s="18"/>
    </row>
    <row r="222" spans="1:18">
      <c r="A222" s="16"/>
      <c r="B222" s="16"/>
      <c r="C222" s="16"/>
      <c r="D222" s="16"/>
      <c r="E222" s="18"/>
      <c r="F222" s="18"/>
      <c r="G222" s="18"/>
      <c r="H222" s="18"/>
      <c r="I222" s="18"/>
      <c r="J222" s="20"/>
      <c r="K222" s="17"/>
      <c r="L222" s="18"/>
      <c r="M222" s="18"/>
      <c r="N222" s="17"/>
      <c r="O222" s="17"/>
      <c r="P222" s="17"/>
      <c r="Q222" s="21"/>
      <c r="R222" s="18"/>
    </row>
    <row r="223" spans="1:18">
      <c r="A223" s="98" t="s">
        <v>37</v>
      </c>
      <c r="B223" s="98"/>
      <c r="C223" s="98"/>
      <c r="D223" s="16"/>
      <c r="E223" s="18"/>
      <c r="F223" s="18"/>
      <c r="G223" s="18"/>
      <c r="H223" s="18"/>
      <c r="I223" s="18"/>
      <c r="J223" s="20"/>
      <c r="K223" s="17"/>
      <c r="L223" s="18"/>
      <c r="M223" s="102" t="s">
        <v>114</v>
      </c>
      <c r="N223" s="102"/>
      <c r="O223" s="102"/>
      <c r="P223" s="102"/>
      <c r="Q223" s="102"/>
      <c r="R223" s="102"/>
    </row>
    <row r="224" spans="1:18">
      <c r="A224" s="99" t="s">
        <v>49</v>
      </c>
      <c r="B224" s="99"/>
      <c r="C224" s="99"/>
      <c r="D224" s="16"/>
      <c r="E224" s="18"/>
      <c r="F224" s="18"/>
      <c r="G224" s="18"/>
      <c r="H224" s="18"/>
      <c r="I224" s="18"/>
      <c r="J224" s="20"/>
      <c r="K224" s="17"/>
      <c r="L224" s="18"/>
      <c r="M224" s="103" t="s">
        <v>122</v>
      </c>
      <c r="N224" s="103"/>
      <c r="O224" s="103"/>
      <c r="P224" s="103"/>
      <c r="Q224" s="103"/>
      <c r="R224" s="103"/>
    </row>
    <row r="225" spans="1:18">
      <c r="A225" s="100" t="s">
        <v>111</v>
      </c>
      <c r="B225" s="100"/>
      <c r="C225" s="100"/>
      <c r="D225" s="16"/>
      <c r="E225" s="18"/>
      <c r="F225" s="18"/>
      <c r="G225" s="18"/>
      <c r="H225" s="18"/>
      <c r="I225" s="18"/>
      <c r="J225" s="20"/>
      <c r="K225" s="17"/>
      <c r="L225" s="18"/>
      <c r="M225" s="103" t="s">
        <v>117</v>
      </c>
      <c r="N225" s="103"/>
      <c r="O225" s="103"/>
      <c r="P225" s="103"/>
      <c r="Q225" s="103"/>
      <c r="R225" s="103"/>
    </row>
    <row r="226" spans="1:18">
      <c r="A226" s="101" t="s">
        <v>110</v>
      </c>
      <c r="B226" s="101"/>
      <c r="C226" s="101"/>
      <c r="D226" s="16"/>
      <c r="E226" s="18"/>
      <c r="F226" s="18"/>
      <c r="G226" s="18"/>
      <c r="H226" s="18"/>
      <c r="I226" s="18"/>
      <c r="J226" s="20"/>
      <c r="K226" s="17"/>
      <c r="L226" s="18"/>
      <c r="M226" s="104" t="s">
        <v>123</v>
      </c>
      <c r="N226" s="104"/>
      <c r="O226" s="104"/>
      <c r="P226" s="104"/>
      <c r="Q226" s="104"/>
      <c r="R226" s="104"/>
    </row>
    <row r="227" spans="1:18" ht="18.75">
      <c r="A227" s="95" t="s">
        <v>5</v>
      </c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</row>
    <row r="228" spans="1:18" ht="15.75">
      <c r="A228" s="96" t="s">
        <v>6</v>
      </c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</row>
    <row r="229" spans="1:18" ht="15.75">
      <c r="A229" s="97" t="s">
        <v>101</v>
      </c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</row>
    <row r="230" spans="1:18" ht="18" customHeight="1">
      <c r="A230" s="109" t="s">
        <v>44</v>
      </c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1"/>
    </row>
    <row r="231" spans="1:18" ht="18.75" customHeight="1">
      <c r="A231" s="115" t="s">
        <v>4</v>
      </c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</row>
    <row r="232" spans="1:18" ht="18" customHeight="1">
      <c r="A232" s="112" t="s">
        <v>26</v>
      </c>
      <c r="B232" s="108" t="s">
        <v>0</v>
      </c>
      <c r="C232" s="112" t="s">
        <v>35</v>
      </c>
      <c r="D232" s="108" t="s">
        <v>1</v>
      </c>
      <c r="E232" s="108" t="s">
        <v>2</v>
      </c>
      <c r="F232" s="105" t="s">
        <v>58</v>
      </c>
      <c r="G232" s="105" t="s">
        <v>59</v>
      </c>
      <c r="H232" s="105" t="s">
        <v>60</v>
      </c>
      <c r="I232" s="108" t="s">
        <v>3</v>
      </c>
      <c r="J232" s="15"/>
      <c r="K232" s="8" t="s">
        <v>61</v>
      </c>
      <c r="L232" s="8"/>
      <c r="M232" s="8"/>
      <c r="N232" s="8"/>
      <c r="O232" s="108" t="s">
        <v>62</v>
      </c>
      <c r="P232" s="108"/>
      <c r="Q232" s="108"/>
      <c r="R232" s="108"/>
    </row>
    <row r="233" spans="1:18" ht="15" customHeight="1">
      <c r="A233" s="112"/>
      <c r="B233" s="108"/>
      <c r="C233" s="112"/>
      <c r="D233" s="108"/>
      <c r="E233" s="108"/>
      <c r="F233" s="107"/>
      <c r="G233" s="107"/>
      <c r="H233" s="107"/>
      <c r="I233" s="108"/>
      <c r="J233" s="15"/>
      <c r="K233" s="30" t="s">
        <v>27</v>
      </c>
      <c r="L233" s="24" t="s">
        <v>28</v>
      </c>
      <c r="M233" s="24" t="s">
        <v>29</v>
      </c>
      <c r="N233" s="24" t="s">
        <v>30</v>
      </c>
      <c r="O233" s="24" t="s">
        <v>31</v>
      </c>
      <c r="P233" s="24" t="s">
        <v>67</v>
      </c>
      <c r="Q233" s="24" t="s">
        <v>33</v>
      </c>
      <c r="R233" s="24" t="s">
        <v>34</v>
      </c>
    </row>
    <row r="234" spans="1:18" ht="28.5" customHeight="1">
      <c r="A234" s="28">
        <v>173</v>
      </c>
      <c r="B234" s="1" t="s">
        <v>7</v>
      </c>
      <c r="C234" s="44" t="s">
        <v>96</v>
      </c>
      <c r="D234" s="1" t="s">
        <v>79</v>
      </c>
      <c r="E234" s="35">
        <v>34.08</v>
      </c>
      <c r="F234" s="35">
        <f>6.03*250/210</f>
        <v>7.1785714285714288</v>
      </c>
      <c r="G234" s="35">
        <f>11.51*250/210</f>
        <v>13.702380952380953</v>
      </c>
      <c r="H234" s="35">
        <f>33.31*250/210</f>
        <v>39.654761904761905</v>
      </c>
      <c r="I234" s="35">
        <f>261*250/210</f>
        <v>310.71428571428572</v>
      </c>
      <c r="J234" s="69"/>
      <c r="K234" s="35">
        <f>126.93*250/210</f>
        <v>151.10714285714286</v>
      </c>
      <c r="L234" s="35">
        <f>47.62*250/210</f>
        <v>56.69047619047619</v>
      </c>
      <c r="M234" s="35">
        <f>172.94*250/210</f>
        <v>205.88095238095238</v>
      </c>
      <c r="N234" s="35">
        <f>1.08*250/210</f>
        <v>1.2857142857142858</v>
      </c>
      <c r="O234" s="35">
        <f>0.04*250/210</f>
        <v>4.7619047619047616E-2</v>
      </c>
      <c r="P234" s="35">
        <v>0.13</v>
      </c>
      <c r="Q234" s="35">
        <v>0</v>
      </c>
      <c r="R234" s="2">
        <f>0.55*250/210</f>
        <v>0.65476190476190477</v>
      </c>
    </row>
    <row r="235" spans="1:18" ht="18" customHeight="1">
      <c r="A235" s="48"/>
      <c r="B235" s="1" t="s">
        <v>8</v>
      </c>
      <c r="C235" s="5" t="s">
        <v>66</v>
      </c>
      <c r="D235" s="1">
        <v>80</v>
      </c>
      <c r="E235" s="2">
        <v>5.87</v>
      </c>
      <c r="F235" s="2">
        <v>6.32</v>
      </c>
      <c r="G235" s="2">
        <v>0.8</v>
      </c>
      <c r="H235" s="2">
        <v>38.64</v>
      </c>
      <c r="I235" s="3">
        <v>187</v>
      </c>
      <c r="J235" s="73"/>
      <c r="K235" s="3">
        <v>18.399999999999999</v>
      </c>
      <c r="L235" s="3">
        <v>26.4</v>
      </c>
      <c r="M235" s="3">
        <v>69.599999999999994</v>
      </c>
      <c r="N235" s="2">
        <v>0.88</v>
      </c>
      <c r="O235" s="2">
        <v>0</v>
      </c>
      <c r="P235" s="2">
        <v>0.08</v>
      </c>
      <c r="Q235" s="2">
        <v>0.2</v>
      </c>
      <c r="R235" s="2">
        <v>0.2</v>
      </c>
    </row>
    <row r="236" spans="1:18" ht="18" customHeight="1">
      <c r="A236" s="28">
        <v>15</v>
      </c>
      <c r="B236" s="1" t="s">
        <v>9</v>
      </c>
      <c r="C236" s="27" t="s">
        <v>93</v>
      </c>
      <c r="D236" s="1">
        <v>20</v>
      </c>
      <c r="E236" s="2">
        <v>19.95</v>
      </c>
      <c r="F236" s="35">
        <v>4.6399999999999997</v>
      </c>
      <c r="G236" s="35">
        <v>5.9</v>
      </c>
      <c r="H236" s="75">
        <v>0</v>
      </c>
      <c r="I236" s="35">
        <v>71.66</v>
      </c>
      <c r="J236" s="69"/>
      <c r="K236" s="35">
        <v>176</v>
      </c>
      <c r="L236" s="35">
        <v>7</v>
      </c>
      <c r="M236" s="35">
        <v>100</v>
      </c>
      <c r="N236" s="35">
        <v>0.2</v>
      </c>
      <c r="O236" s="35">
        <v>52</v>
      </c>
      <c r="P236" s="75">
        <v>0</v>
      </c>
      <c r="Q236" s="75">
        <v>0</v>
      </c>
      <c r="R236" s="75">
        <v>0</v>
      </c>
    </row>
    <row r="237" spans="1:18" ht="18" customHeight="1">
      <c r="A237" s="1">
        <v>376</v>
      </c>
      <c r="B237" s="1" t="s">
        <v>13</v>
      </c>
      <c r="C237" s="27" t="s">
        <v>16</v>
      </c>
      <c r="D237" s="1">
        <v>200</v>
      </c>
      <c r="E237" s="2">
        <v>1.89</v>
      </c>
      <c r="F237" s="2">
        <v>0.1</v>
      </c>
      <c r="G237" s="2">
        <v>0</v>
      </c>
      <c r="H237" s="2">
        <v>15</v>
      </c>
      <c r="I237" s="2">
        <v>60</v>
      </c>
      <c r="J237" s="49"/>
      <c r="K237" s="2">
        <v>5</v>
      </c>
      <c r="L237" s="2">
        <v>0</v>
      </c>
      <c r="M237" s="2">
        <v>0</v>
      </c>
      <c r="N237" s="2">
        <v>2</v>
      </c>
      <c r="O237" s="74">
        <v>0</v>
      </c>
      <c r="P237" s="74">
        <v>0</v>
      </c>
      <c r="Q237" s="74">
        <v>0</v>
      </c>
      <c r="R237" s="74">
        <v>0</v>
      </c>
    </row>
    <row r="238" spans="1:18" ht="18" customHeight="1">
      <c r="A238" s="114" t="s">
        <v>11</v>
      </c>
      <c r="B238" s="114"/>
      <c r="C238" s="114"/>
      <c r="D238" s="53">
        <v>560</v>
      </c>
      <c r="E238" s="13">
        <f t="shared" ref="E238:R238" si="21">SUM(E234:E237)</f>
        <v>61.789999999999992</v>
      </c>
      <c r="F238" s="13">
        <f t="shared" si="21"/>
        <v>18.238571428571429</v>
      </c>
      <c r="G238" s="13">
        <f t="shared" si="21"/>
        <v>20.402380952380952</v>
      </c>
      <c r="H238" s="13">
        <f t="shared" si="21"/>
        <v>93.294761904761913</v>
      </c>
      <c r="I238" s="13">
        <f t="shared" si="21"/>
        <v>629.37428571428575</v>
      </c>
      <c r="J238" s="13">
        <f t="shared" si="21"/>
        <v>0</v>
      </c>
      <c r="K238" s="13">
        <f t="shared" si="21"/>
        <v>350.50714285714287</v>
      </c>
      <c r="L238" s="13">
        <f t="shared" si="21"/>
        <v>90.090476190476181</v>
      </c>
      <c r="M238" s="13">
        <f t="shared" si="21"/>
        <v>375.48095238095237</v>
      </c>
      <c r="N238" s="13">
        <f t="shared" si="21"/>
        <v>4.3657142857142865</v>
      </c>
      <c r="O238" s="13">
        <f t="shared" si="21"/>
        <v>52.047619047619051</v>
      </c>
      <c r="P238" s="13">
        <f t="shared" si="21"/>
        <v>0.21000000000000002</v>
      </c>
      <c r="Q238" s="13">
        <f t="shared" si="21"/>
        <v>0.2</v>
      </c>
      <c r="R238" s="13">
        <f t="shared" si="21"/>
        <v>0.85476190476190483</v>
      </c>
    </row>
    <row r="239" spans="1:18" ht="18" customHeight="1">
      <c r="A239" s="115" t="s">
        <v>12</v>
      </c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</row>
    <row r="240" spans="1:18" ht="18" customHeight="1">
      <c r="A240" s="112" t="s">
        <v>26</v>
      </c>
      <c r="B240" s="108" t="s">
        <v>0</v>
      </c>
      <c r="C240" s="112" t="s">
        <v>35</v>
      </c>
      <c r="D240" s="108" t="s">
        <v>1</v>
      </c>
      <c r="E240" s="108" t="s">
        <v>2</v>
      </c>
      <c r="F240" s="105" t="s">
        <v>58</v>
      </c>
      <c r="G240" s="105" t="s">
        <v>59</v>
      </c>
      <c r="H240" s="105" t="s">
        <v>60</v>
      </c>
      <c r="I240" s="108" t="s">
        <v>3</v>
      </c>
      <c r="J240" s="15"/>
      <c r="K240" s="8" t="s">
        <v>61</v>
      </c>
      <c r="L240" s="8"/>
      <c r="M240" s="8"/>
      <c r="N240" s="8"/>
      <c r="O240" s="108" t="s">
        <v>62</v>
      </c>
      <c r="P240" s="108"/>
      <c r="Q240" s="108"/>
      <c r="R240" s="108"/>
    </row>
    <row r="241" spans="1:18" ht="15" customHeight="1">
      <c r="A241" s="112"/>
      <c r="B241" s="108"/>
      <c r="C241" s="112"/>
      <c r="D241" s="108"/>
      <c r="E241" s="108"/>
      <c r="F241" s="107"/>
      <c r="G241" s="107"/>
      <c r="H241" s="107"/>
      <c r="I241" s="108"/>
      <c r="J241" s="15"/>
      <c r="K241" s="30" t="s">
        <v>27</v>
      </c>
      <c r="L241" s="24" t="s">
        <v>28</v>
      </c>
      <c r="M241" s="24" t="s">
        <v>29</v>
      </c>
      <c r="N241" s="24" t="s">
        <v>30</v>
      </c>
      <c r="O241" s="24" t="s">
        <v>31</v>
      </c>
      <c r="P241" s="24" t="s">
        <v>67</v>
      </c>
      <c r="Q241" s="24" t="s">
        <v>33</v>
      </c>
      <c r="R241" s="24" t="s">
        <v>34</v>
      </c>
    </row>
    <row r="242" spans="1:18" ht="18" customHeight="1">
      <c r="A242" s="28">
        <v>71</v>
      </c>
      <c r="B242" s="1">
        <v>1</v>
      </c>
      <c r="C242" s="5" t="s">
        <v>76</v>
      </c>
      <c r="D242" s="32">
        <v>100</v>
      </c>
      <c r="E242" s="2">
        <v>27.14</v>
      </c>
      <c r="F242" s="68">
        <v>1.2</v>
      </c>
      <c r="G242" s="68">
        <v>0.2</v>
      </c>
      <c r="H242" s="68">
        <v>4.5999999999999996</v>
      </c>
      <c r="I242" s="2">
        <v>26</v>
      </c>
      <c r="J242" s="70"/>
      <c r="K242" s="2">
        <v>14</v>
      </c>
      <c r="L242" s="2">
        <v>20</v>
      </c>
      <c r="M242" s="2">
        <v>0</v>
      </c>
      <c r="N242" s="2">
        <v>0.8</v>
      </c>
      <c r="O242" s="2">
        <v>0</v>
      </c>
      <c r="P242" s="2">
        <v>0</v>
      </c>
      <c r="Q242" s="2">
        <v>0</v>
      </c>
      <c r="R242" s="2">
        <v>17.5</v>
      </c>
    </row>
    <row r="243" spans="1:18" ht="30.75" customHeight="1">
      <c r="A243" s="1">
        <v>88</v>
      </c>
      <c r="B243" s="1" t="s">
        <v>8</v>
      </c>
      <c r="C243" s="4" t="s">
        <v>19</v>
      </c>
      <c r="D243" s="32">
        <v>250</v>
      </c>
      <c r="E243" s="1">
        <v>12.66</v>
      </c>
      <c r="F243" s="2">
        <v>1.6</v>
      </c>
      <c r="G243" s="2">
        <v>4.9000000000000004</v>
      </c>
      <c r="H243" s="2">
        <v>11.5</v>
      </c>
      <c r="I243" s="2">
        <v>96.8</v>
      </c>
      <c r="J243" s="71"/>
      <c r="K243" s="2">
        <v>75.2</v>
      </c>
      <c r="L243" s="2">
        <v>14.7</v>
      </c>
      <c r="M243" s="2">
        <v>34.200000000000003</v>
      </c>
      <c r="N243" s="2">
        <v>1.0249999999999999</v>
      </c>
      <c r="O243" s="2">
        <v>1</v>
      </c>
      <c r="P243" s="2">
        <v>5.5</v>
      </c>
      <c r="Q243" s="2">
        <v>0.6</v>
      </c>
      <c r="R243" s="2">
        <v>9.5</v>
      </c>
    </row>
    <row r="244" spans="1:18" ht="18" customHeight="1">
      <c r="A244" s="1">
        <v>268</v>
      </c>
      <c r="B244" s="1" t="s">
        <v>9</v>
      </c>
      <c r="C244" s="4" t="s">
        <v>24</v>
      </c>
      <c r="D244" s="32">
        <v>100</v>
      </c>
      <c r="E244" s="2">
        <v>55.53</v>
      </c>
      <c r="F244" s="2">
        <v>14.8</v>
      </c>
      <c r="G244" s="2">
        <v>19.399999999999999</v>
      </c>
      <c r="H244" s="2">
        <v>22.2</v>
      </c>
      <c r="I244" s="2">
        <v>322</v>
      </c>
      <c r="J244" s="49"/>
      <c r="K244" s="2">
        <v>43.7</v>
      </c>
      <c r="L244" s="2">
        <v>32.1</v>
      </c>
      <c r="M244" s="2">
        <v>166.4</v>
      </c>
      <c r="N244" s="2">
        <v>1</v>
      </c>
      <c r="O244" s="2">
        <v>28.7</v>
      </c>
      <c r="P244" s="2">
        <v>0.1</v>
      </c>
      <c r="Q244" s="2">
        <v>0</v>
      </c>
      <c r="R244" s="2">
        <v>0.1</v>
      </c>
    </row>
    <row r="245" spans="1:18" ht="18" customHeight="1">
      <c r="A245" s="1">
        <v>143</v>
      </c>
      <c r="B245" s="32" t="s">
        <v>13</v>
      </c>
      <c r="C245" s="45" t="s">
        <v>51</v>
      </c>
      <c r="D245" s="32">
        <v>180</v>
      </c>
      <c r="E245" s="35">
        <v>29.35</v>
      </c>
      <c r="F245" s="35">
        <v>2.52</v>
      </c>
      <c r="G245" s="35">
        <v>14.52</v>
      </c>
      <c r="H245" s="2">
        <v>18.600000000000001</v>
      </c>
      <c r="I245" s="2">
        <v>214.32</v>
      </c>
      <c r="J245" s="49"/>
      <c r="K245" s="2">
        <v>28.68</v>
      </c>
      <c r="L245" s="2">
        <v>33.36</v>
      </c>
      <c r="M245" s="2">
        <v>74.16</v>
      </c>
      <c r="N245" s="2">
        <v>1.1759999999999999</v>
      </c>
      <c r="O245" s="2">
        <v>37.200000000000003</v>
      </c>
      <c r="P245" s="2">
        <v>8.4000000000000005E-2</v>
      </c>
      <c r="Q245" s="2">
        <v>0</v>
      </c>
      <c r="R245" s="2">
        <v>10.404</v>
      </c>
    </row>
    <row r="246" spans="1:18" ht="18" customHeight="1">
      <c r="A246" s="1"/>
      <c r="B246" s="1" t="s">
        <v>14</v>
      </c>
      <c r="C246" s="4" t="s">
        <v>57</v>
      </c>
      <c r="D246" s="1">
        <v>200</v>
      </c>
      <c r="E246" s="2">
        <v>14</v>
      </c>
      <c r="F246" s="2">
        <v>0.2</v>
      </c>
      <c r="G246" s="2">
        <v>0</v>
      </c>
      <c r="H246" s="2">
        <v>3.9</v>
      </c>
      <c r="I246" s="2">
        <v>16</v>
      </c>
      <c r="J246" s="71"/>
      <c r="K246" s="2">
        <v>0.24</v>
      </c>
      <c r="L246" s="2">
        <v>0.2</v>
      </c>
      <c r="M246" s="2">
        <v>0.5</v>
      </c>
      <c r="N246" s="2">
        <v>7</v>
      </c>
      <c r="O246" s="2">
        <v>0</v>
      </c>
      <c r="P246" s="2">
        <v>0.1</v>
      </c>
      <c r="Q246" s="2">
        <v>0</v>
      </c>
      <c r="R246" s="2">
        <v>6</v>
      </c>
    </row>
    <row r="247" spans="1:18" ht="18" customHeight="1">
      <c r="A247" s="1"/>
      <c r="B247" s="1" t="s">
        <v>15</v>
      </c>
      <c r="C247" s="4" t="s">
        <v>84</v>
      </c>
      <c r="D247" s="32">
        <v>40</v>
      </c>
      <c r="E247" s="2">
        <v>2.93</v>
      </c>
      <c r="F247" s="2">
        <v>1.68</v>
      </c>
      <c r="G247" s="2">
        <v>0.33</v>
      </c>
      <c r="H247" s="2">
        <v>14.82</v>
      </c>
      <c r="I247" s="2">
        <v>68.97</v>
      </c>
      <c r="J247" s="49"/>
      <c r="K247" s="2">
        <v>6.9</v>
      </c>
      <c r="L247" s="2">
        <v>7.5</v>
      </c>
      <c r="M247" s="2">
        <v>31.799999999999997</v>
      </c>
      <c r="N247" s="2">
        <v>0.92999999999999994</v>
      </c>
      <c r="O247" s="2">
        <v>0</v>
      </c>
      <c r="P247" s="2">
        <v>0.03</v>
      </c>
      <c r="Q247" s="2">
        <v>0</v>
      </c>
      <c r="R247" s="2">
        <v>0</v>
      </c>
    </row>
    <row r="248" spans="1:18" ht="18" customHeight="1">
      <c r="A248" s="1"/>
      <c r="B248" s="1" t="s">
        <v>68</v>
      </c>
      <c r="C248" s="60" t="s">
        <v>70</v>
      </c>
      <c r="D248" s="32">
        <v>70</v>
      </c>
      <c r="E248" s="35">
        <v>5.13</v>
      </c>
      <c r="F248" s="2">
        <v>2.37</v>
      </c>
      <c r="G248" s="2">
        <v>0.3</v>
      </c>
      <c r="H248" s="2">
        <v>14.49</v>
      </c>
      <c r="I248" s="2">
        <v>70.14</v>
      </c>
      <c r="J248" s="49"/>
      <c r="K248" s="2">
        <v>6.8999999999999995</v>
      </c>
      <c r="L248" s="2">
        <v>9.8999999999999986</v>
      </c>
      <c r="M248" s="2">
        <v>26.099999999999998</v>
      </c>
      <c r="N248" s="2">
        <v>0.33</v>
      </c>
      <c r="O248" s="2">
        <v>0</v>
      </c>
      <c r="P248" s="2">
        <v>0.03</v>
      </c>
      <c r="Q248" s="2">
        <v>0</v>
      </c>
      <c r="R248" s="2">
        <v>0</v>
      </c>
    </row>
    <row r="249" spans="1:18" ht="18" customHeight="1">
      <c r="A249" s="1">
        <v>386</v>
      </c>
      <c r="B249" s="1" t="s">
        <v>80</v>
      </c>
      <c r="C249" s="27" t="s">
        <v>82</v>
      </c>
      <c r="D249" s="1">
        <v>100</v>
      </c>
      <c r="E249" s="2">
        <v>15.45</v>
      </c>
      <c r="F249" s="2">
        <v>2.7</v>
      </c>
      <c r="G249" s="2">
        <v>2.5</v>
      </c>
      <c r="H249" s="2">
        <v>10.8</v>
      </c>
      <c r="I249" s="2">
        <v>79</v>
      </c>
      <c r="J249" s="49"/>
      <c r="K249" s="2">
        <v>121</v>
      </c>
      <c r="L249" s="2">
        <v>15</v>
      </c>
      <c r="M249" s="2">
        <v>94</v>
      </c>
      <c r="N249" s="2">
        <v>0.1</v>
      </c>
      <c r="O249" s="2">
        <v>20</v>
      </c>
      <c r="P249" s="2">
        <v>4.4999999999999998E-2</v>
      </c>
      <c r="Q249" s="2">
        <v>0.1</v>
      </c>
      <c r="R249" s="2">
        <v>1.35</v>
      </c>
    </row>
    <row r="250" spans="1:18" ht="18" customHeight="1">
      <c r="A250" s="114" t="s">
        <v>11</v>
      </c>
      <c r="B250" s="114"/>
      <c r="C250" s="114"/>
      <c r="D250" s="24">
        <v>1040</v>
      </c>
      <c r="E250" s="24">
        <f t="shared" ref="E250:R250" si="22">SUM(E242:E249)</f>
        <v>162.19</v>
      </c>
      <c r="F250" s="13">
        <f t="shared" si="22"/>
        <v>27.07</v>
      </c>
      <c r="G250" s="13">
        <f t="shared" si="22"/>
        <v>42.149999999999991</v>
      </c>
      <c r="H250" s="13">
        <f t="shared" si="22"/>
        <v>100.91</v>
      </c>
      <c r="I250" s="13">
        <f t="shared" si="22"/>
        <v>893.23</v>
      </c>
      <c r="J250" s="13">
        <f t="shared" si="22"/>
        <v>0</v>
      </c>
      <c r="K250" s="13">
        <f t="shared" si="22"/>
        <v>296.62</v>
      </c>
      <c r="L250" s="13">
        <f t="shared" si="22"/>
        <v>132.76000000000002</v>
      </c>
      <c r="M250" s="13">
        <f t="shared" si="22"/>
        <v>427.16</v>
      </c>
      <c r="N250" s="13">
        <f t="shared" si="22"/>
        <v>12.361000000000001</v>
      </c>
      <c r="O250" s="13">
        <f t="shared" si="22"/>
        <v>86.9</v>
      </c>
      <c r="P250" s="13">
        <f t="shared" si="22"/>
        <v>5.8889999999999993</v>
      </c>
      <c r="Q250" s="13">
        <f t="shared" si="22"/>
        <v>0.7</v>
      </c>
      <c r="R250" s="13">
        <f t="shared" si="22"/>
        <v>44.854000000000006</v>
      </c>
    </row>
    <row r="251" spans="1:18" ht="18" customHeight="1">
      <c r="A251" s="113" t="s">
        <v>17</v>
      </c>
      <c r="B251" s="113"/>
      <c r="C251" s="113"/>
      <c r="D251" s="113"/>
      <c r="E251" s="13">
        <f>E238+E250</f>
        <v>223.98</v>
      </c>
      <c r="F251" s="13">
        <f>F238+F250</f>
        <v>45.308571428571426</v>
      </c>
      <c r="G251" s="13">
        <f>G238+G250</f>
        <v>62.552380952380943</v>
      </c>
      <c r="H251" s="13">
        <f>H238+H250</f>
        <v>194.20476190476191</v>
      </c>
      <c r="I251" s="13">
        <f>I238+I250</f>
        <v>1522.6042857142857</v>
      </c>
      <c r="J251" s="49"/>
      <c r="K251" s="13">
        <f t="shared" ref="K251:R251" si="23">K238+K250</f>
        <v>647.12714285714287</v>
      </c>
      <c r="L251" s="13">
        <f t="shared" si="23"/>
        <v>222.8504761904762</v>
      </c>
      <c r="M251" s="13">
        <f t="shared" si="23"/>
        <v>802.6409523809524</v>
      </c>
      <c r="N251" s="13">
        <f t="shared" si="23"/>
        <v>16.726714285714287</v>
      </c>
      <c r="O251" s="13">
        <f t="shared" si="23"/>
        <v>138.94761904761907</v>
      </c>
      <c r="P251" s="13">
        <f t="shared" si="23"/>
        <v>6.0989999999999993</v>
      </c>
      <c r="Q251" s="13">
        <f t="shared" si="23"/>
        <v>0.89999999999999991</v>
      </c>
      <c r="R251" s="13">
        <f t="shared" si="23"/>
        <v>45.708761904761914</v>
      </c>
    </row>
    <row r="252" spans="1:18">
      <c r="A252" s="22"/>
      <c r="B252" s="22"/>
      <c r="C252" s="22"/>
      <c r="D252" s="22"/>
      <c r="E252" s="23"/>
      <c r="F252" s="23"/>
      <c r="G252" s="23"/>
      <c r="H252" s="23"/>
      <c r="I252" s="23"/>
      <c r="K252" s="23"/>
      <c r="L252" s="9"/>
      <c r="M252" s="23"/>
      <c r="N252" s="23"/>
      <c r="O252" s="23"/>
      <c r="P252" s="9"/>
      <c r="Q252" s="9"/>
      <c r="R252" s="23"/>
    </row>
    <row r="253" spans="1:18">
      <c r="A253" s="22"/>
      <c r="B253" s="22"/>
      <c r="C253" s="22"/>
      <c r="D253" s="22"/>
      <c r="E253" s="23"/>
      <c r="F253" s="23"/>
      <c r="G253" s="23"/>
      <c r="H253" s="23"/>
      <c r="I253" s="23"/>
      <c r="K253" s="23"/>
      <c r="L253" s="9"/>
      <c r="M253" s="23"/>
      <c r="N253" s="23"/>
      <c r="O253" s="23"/>
      <c r="P253" s="9"/>
      <c r="Q253" s="9"/>
      <c r="R253" s="23"/>
    </row>
    <row r="254" spans="1:18">
      <c r="A254" s="22"/>
      <c r="B254" s="22"/>
      <c r="C254" s="22"/>
      <c r="D254" s="22"/>
      <c r="E254" s="23"/>
      <c r="F254" s="23"/>
      <c r="G254" s="23"/>
      <c r="H254" s="23"/>
      <c r="I254" s="23"/>
      <c r="K254" s="23"/>
      <c r="L254" s="9"/>
      <c r="M254" s="23"/>
      <c r="N254" s="23"/>
      <c r="O254" s="23"/>
      <c r="P254" s="9"/>
      <c r="Q254" s="9"/>
      <c r="R254" s="23"/>
    </row>
    <row r="255" spans="1:18">
      <c r="A255" s="98" t="s">
        <v>37</v>
      </c>
      <c r="B255" s="98"/>
      <c r="C255" s="98"/>
      <c r="D255" s="22"/>
      <c r="E255" s="23"/>
      <c r="F255" s="23"/>
      <c r="G255" s="23"/>
      <c r="H255" s="23"/>
      <c r="I255" s="23"/>
      <c r="K255" s="23"/>
      <c r="L255" s="9"/>
      <c r="M255" s="102" t="s">
        <v>114</v>
      </c>
      <c r="N255" s="102"/>
      <c r="O255" s="102"/>
      <c r="P255" s="102"/>
      <c r="Q255" s="102"/>
      <c r="R255" s="102"/>
    </row>
    <row r="256" spans="1:18">
      <c r="A256" s="99" t="s">
        <v>49</v>
      </c>
      <c r="B256" s="99"/>
      <c r="C256" s="99"/>
      <c r="D256" s="22"/>
      <c r="E256" s="23"/>
      <c r="F256" s="23"/>
      <c r="G256" s="23"/>
      <c r="H256" s="23"/>
      <c r="I256" s="23"/>
      <c r="K256" s="23"/>
      <c r="L256" s="9"/>
      <c r="M256" s="103" t="s">
        <v>122</v>
      </c>
      <c r="N256" s="103"/>
      <c r="O256" s="103"/>
      <c r="P256" s="103"/>
      <c r="Q256" s="103"/>
      <c r="R256" s="103"/>
    </row>
    <row r="257" spans="1:18">
      <c r="A257" s="100" t="s">
        <v>111</v>
      </c>
      <c r="B257" s="100"/>
      <c r="C257" s="100"/>
      <c r="D257" s="22"/>
      <c r="E257" s="23"/>
      <c r="F257" s="23"/>
      <c r="G257" s="23"/>
      <c r="H257" s="23"/>
      <c r="I257" s="23"/>
      <c r="K257" s="23"/>
      <c r="L257" s="9"/>
      <c r="M257" s="103" t="s">
        <v>117</v>
      </c>
      <c r="N257" s="103"/>
      <c r="O257" s="103"/>
      <c r="P257" s="103"/>
      <c r="Q257" s="103"/>
      <c r="R257" s="103"/>
    </row>
    <row r="258" spans="1:18">
      <c r="A258" s="101" t="s">
        <v>110</v>
      </c>
      <c r="B258" s="101"/>
      <c r="C258" s="101"/>
      <c r="D258" s="22"/>
      <c r="E258" s="23"/>
      <c r="F258" s="23"/>
      <c r="G258" s="23"/>
      <c r="H258" s="23"/>
      <c r="I258" s="23"/>
      <c r="K258" s="23"/>
      <c r="L258" s="9"/>
      <c r="M258" s="104" t="s">
        <v>123</v>
      </c>
      <c r="N258" s="104"/>
      <c r="O258" s="104"/>
      <c r="P258" s="104"/>
      <c r="Q258" s="104"/>
      <c r="R258" s="104"/>
    </row>
    <row r="259" spans="1:18" ht="18.75">
      <c r="A259" s="95" t="s">
        <v>5</v>
      </c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</row>
    <row r="260" spans="1:18" ht="15.75">
      <c r="A260" s="96" t="s">
        <v>6</v>
      </c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</row>
    <row r="261" spans="1:18" ht="15.75">
      <c r="A261" s="97" t="s">
        <v>101</v>
      </c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</row>
    <row r="262" spans="1:18" ht="18" customHeight="1">
      <c r="A262" s="141" t="s">
        <v>45</v>
      </c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3"/>
    </row>
    <row r="263" spans="1:18" ht="18.75" customHeight="1">
      <c r="A263" s="115" t="s">
        <v>4</v>
      </c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</row>
    <row r="264" spans="1:18" ht="18" customHeight="1">
      <c r="A264" s="112" t="s">
        <v>26</v>
      </c>
      <c r="B264" s="108" t="s">
        <v>0</v>
      </c>
      <c r="C264" s="112" t="s">
        <v>35</v>
      </c>
      <c r="D264" s="108" t="s">
        <v>1</v>
      </c>
      <c r="E264" s="108" t="s">
        <v>2</v>
      </c>
      <c r="F264" s="105" t="s">
        <v>58</v>
      </c>
      <c r="G264" s="105" t="s">
        <v>59</v>
      </c>
      <c r="H264" s="105" t="s">
        <v>60</v>
      </c>
      <c r="I264" s="108" t="s">
        <v>3</v>
      </c>
      <c r="J264" s="15"/>
      <c r="K264" s="8" t="s">
        <v>61</v>
      </c>
      <c r="L264" s="8"/>
      <c r="M264" s="8"/>
      <c r="N264" s="8"/>
      <c r="O264" s="108" t="s">
        <v>62</v>
      </c>
      <c r="P264" s="108"/>
      <c r="Q264" s="108"/>
      <c r="R264" s="108"/>
    </row>
    <row r="265" spans="1:18" ht="18" customHeight="1">
      <c r="A265" s="112"/>
      <c r="B265" s="108"/>
      <c r="C265" s="112"/>
      <c r="D265" s="108"/>
      <c r="E265" s="108"/>
      <c r="F265" s="106"/>
      <c r="G265" s="106"/>
      <c r="H265" s="106"/>
      <c r="I265" s="108"/>
      <c r="J265" s="15"/>
      <c r="K265" s="8"/>
      <c r="L265" s="8"/>
      <c r="M265" s="8"/>
      <c r="N265" s="8"/>
      <c r="O265" s="90"/>
      <c r="P265" s="90"/>
      <c r="Q265" s="90"/>
      <c r="R265" s="90"/>
    </row>
    <row r="266" spans="1:18" ht="15" customHeight="1">
      <c r="A266" s="112"/>
      <c r="B266" s="108"/>
      <c r="C266" s="112"/>
      <c r="D266" s="108"/>
      <c r="E266" s="108"/>
      <c r="F266" s="107"/>
      <c r="G266" s="107"/>
      <c r="H266" s="107"/>
      <c r="I266" s="108"/>
      <c r="J266" s="15"/>
      <c r="K266" s="30" t="s">
        <v>27</v>
      </c>
      <c r="L266" s="24" t="s">
        <v>28</v>
      </c>
      <c r="M266" s="24" t="s">
        <v>29</v>
      </c>
      <c r="N266" s="24" t="s">
        <v>30</v>
      </c>
      <c r="O266" s="24" t="s">
        <v>31</v>
      </c>
      <c r="P266" s="24" t="s">
        <v>67</v>
      </c>
      <c r="Q266" s="24" t="s">
        <v>33</v>
      </c>
      <c r="R266" s="24" t="s">
        <v>34</v>
      </c>
    </row>
    <row r="267" spans="1:18" ht="27" customHeight="1">
      <c r="A267" s="1">
        <v>181</v>
      </c>
      <c r="B267" s="1" t="s">
        <v>7</v>
      </c>
      <c r="C267" s="4" t="s">
        <v>94</v>
      </c>
      <c r="D267" s="32" t="s">
        <v>79</v>
      </c>
      <c r="E267" s="2">
        <v>33.020000000000003</v>
      </c>
      <c r="F267" s="2">
        <f>6.1*250/200</f>
        <v>7.625</v>
      </c>
      <c r="G267" s="2">
        <f>11.3*250/200</f>
        <v>14.125</v>
      </c>
      <c r="H267" s="2">
        <f>33.5*250/200</f>
        <v>41.875</v>
      </c>
      <c r="I267" s="2">
        <f>260*250/200</f>
        <v>325</v>
      </c>
      <c r="J267" s="49"/>
      <c r="K267" s="2">
        <f>192.2*250/200</f>
        <v>240.25</v>
      </c>
      <c r="L267" s="2">
        <f>23.5*250/200</f>
        <v>29.375</v>
      </c>
      <c r="M267" s="2">
        <f>156.1*250/200</f>
        <v>195.125</v>
      </c>
      <c r="N267" s="2">
        <f>0.3*250/200</f>
        <v>0.375</v>
      </c>
      <c r="O267" s="2">
        <f>36.7*250/200</f>
        <v>45.875</v>
      </c>
      <c r="P267" s="2">
        <f>0.1*250/200</f>
        <v>0.125</v>
      </c>
      <c r="Q267" s="2">
        <v>0</v>
      </c>
      <c r="R267" s="2">
        <f>1.1*250/200</f>
        <v>1.375</v>
      </c>
    </row>
    <row r="268" spans="1:18" ht="18" customHeight="1">
      <c r="A268" s="1">
        <v>209</v>
      </c>
      <c r="B268" s="1" t="s">
        <v>8</v>
      </c>
      <c r="C268" s="27" t="s">
        <v>75</v>
      </c>
      <c r="D268" s="32">
        <v>40</v>
      </c>
      <c r="E268" s="2">
        <v>15</v>
      </c>
      <c r="F268" s="2">
        <v>5.08</v>
      </c>
      <c r="G268" s="2">
        <v>4.5999999999999996</v>
      </c>
      <c r="H268" s="2">
        <v>0.28000000000000003</v>
      </c>
      <c r="I268" s="2">
        <v>63</v>
      </c>
      <c r="J268" s="27"/>
      <c r="K268" s="2">
        <v>22</v>
      </c>
      <c r="L268" s="2">
        <v>4.8</v>
      </c>
      <c r="M268" s="2">
        <v>76.8</v>
      </c>
      <c r="N268" s="2">
        <v>1</v>
      </c>
      <c r="O268" s="2">
        <v>100</v>
      </c>
      <c r="P268" s="2">
        <v>0.03</v>
      </c>
      <c r="Q268" s="2">
        <v>0.08</v>
      </c>
      <c r="R268" s="74">
        <v>0</v>
      </c>
    </row>
    <row r="269" spans="1:18" ht="18.75" customHeight="1">
      <c r="A269" s="48"/>
      <c r="B269" s="1" t="s">
        <v>9</v>
      </c>
      <c r="C269" s="5" t="s">
        <v>66</v>
      </c>
      <c r="D269" s="1">
        <v>80</v>
      </c>
      <c r="E269" s="2">
        <v>5.87</v>
      </c>
      <c r="F269" s="2">
        <v>6.32</v>
      </c>
      <c r="G269" s="2">
        <v>0.8</v>
      </c>
      <c r="H269" s="2">
        <v>38.64</v>
      </c>
      <c r="I269" s="3">
        <v>187</v>
      </c>
      <c r="J269" s="73"/>
      <c r="K269" s="3">
        <v>18.399999999999999</v>
      </c>
      <c r="L269" s="3">
        <v>26.4</v>
      </c>
      <c r="M269" s="3">
        <v>69.599999999999994</v>
      </c>
      <c r="N269" s="2">
        <v>0.88</v>
      </c>
      <c r="O269" s="2">
        <v>0</v>
      </c>
      <c r="P269" s="2">
        <v>0.08</v>
      </c>
      <c r="Q269" s="2">
        <v>0.2</v>
      </c>
      <c r="R269" s="2">
        <v>0.2</v>
      </c>
    </row>
    <row r="270" spans="1:18" ht="18" customHeight="1">
      <c r="A270" s="1">
        <v>376</v>
      </c>
      <c r="B270" s="1" t="s">
        <v>13</v>
      </c>
      <c r="C270" s="27" t="s">
        <v>16</v>
      </c>
      <c r="D270" s="1">
        <v>200</v>
      </c>
      <c r="E270" s="2">
        <v>1.89</v>
      </c>
      <c r="F270" s="2">
        <v>0.1</v>
      </c>
      <c r="G270" s="2">
        <v>0</v>
      </c>
      <c r="H270" s="2">
        <v>15</v>
      </c>
      <c r="I270" s="2">
        <v>60</v>
      </c>
      <c r="J270" s="49"/>
      <c r="K270" s="2">
        <v>5</v>
      </c>
      <c r="L270" s="2">
        <v>0</v>
      </c>
      <c r="M270" s="2">
        <v>0</v>
      </c>
      <c r="N270" s="2">
        <v>2</v>
      </c>
      <c r="O270" s="74">
        <v>0</v>
      </c>
      <c r="P270" s="74">
        <v>0</v>
      </c>
      <c r="Q270" s="74">
        <v>0</v>
      </c>
      <c r="R270" s="74">
        <v>0</v>
      </c>
    </row>
    <row r="271" spans="1:18" ht="18" customHeight="1">
      <c r="A271" s="114" t="s">
        <v>11</v>
      </c>
      <c r="B271" s="114"/>
      <c r="C271" s="114"/>
      <c r="D271" s="81">
        <v>580</v>
      </c>
      <c r="E271" s="13">
        <f>SUM(E267:E270)</f>
        <v>55.78</v>
      </c>
      <c r="F271" s="13">
        <f>SUM(F267:F270)</f>
        <v>19.125</v>
      </c>
      <c r="G271" s="13">
        <f>SUM(G267:G270)</f>
        <v>19.525000000000002</v>
      </c>
      <c r="H271" s="13">
        <f>SUM(H267:H270)</f>
        <v>95.795000000000002</v>
      </c>
      <c r="I271" s="13">
        <f>SUM(I267:I270)</f>
        <v>635</v>
      </c>
      <c r="J271" s="49"/>
      <c r="K271" s="13">
        <f t="shared" ref="K271:R271" si="24">SUM(K267:K270)</f>
        <v>285.64999999999998</v>
      </c>
      <c r="L271" s="13">
        <f t="shared" si="24"/>
        <v>60.574999999999996</v>
      </c>
      <c r="M271" s="13">
        <f t="shared" si="24"/>
        <v>341.52499999999998</v>
      </c>
      <c r="N271" s="13">
        <f t="shared" si="24"/>
        <v>4.2549999999999999</v>
      </c>
      <c r="O271" s="13">
        <f t="shared" si="24"/>
        <v>145.875</v>
      </c>
      <c r="P271" s="13">
        <f t="shared" si="24"/>
        <v>0.23499999999999999</v>
      </c>
      <c r="Q271" s="13">
        <f t="shared" si="24"/>
        <v>0.28000000000000003</v>
      </c>
      <c r="R271" s="13">
        <f t="shared" si="24"/>
        <v>1.575</v>
      </c>
    </row>
    <row r="272" spans="1:18" ht="18" customHeight="1">
      <c r="A272" s="115" t="s">
        <v>12</v>
      </c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</row>
    <row r="273" spans="1:18" ht="18" customHeight="1">
      <c r="A273" s="112" t="s">
        <v>26</v>
      </c>
      <c r="B273" s="108" t="s">
        <v>0</v>
      </c>
      <c r="C273" s="112" t="s">
        <v>35</v>
      </c>
      <c r="D273" s="108" t="s">
        <v>1</v>
      </c>
      <c r="E273" s="108" t="s">
        <v>2</v>
      </c>
      <c r="F273" s="105" t="s">
        <v>58</v>
      </c>
      <c r="G273" s="105" t="s">
        <v>59</v>
      </c>
      <c r="H273" s="105" t="s">
        <v>60</v>
      </c>
      <c r="I273" s="108" t="s">
        <v>3</v>
      </c>
      <c r="J273" s="15"/>
      <c r="K273" s="8" t="s">
        <v>61</v>
      </c>
      <c r="L273" s="8"/>
      <c r="M273" s="8"/>
      <c r="N273" s="8"/>
      <c r="O273" s="108" t="s">
        <v>62</v>
      </c>
      <c r="P273" s="108"/>
      <c r="Q273" s="108"/>
      <c r="R273" s="108"/>
    </row>
    <row r="274" spans="1:18" ht="15" customHeight="1">
      <c r="A274" s="112"/>
      <c r="B274" s="108"/>
      <c r="C274" s="112"/>
      <c r="D274" s="108"/>
      <c r="E274" s="108"/>
      <c r="F274" s="107"/>
      <c r="G274" s="107"/>
      <c r="H274" s="107"/>
      <c r="I274" s="108"/>
      <c r="J274" s="15"/>
      <c r="K274" s="30" t="s">
        <v>27</v>
      </c>
      <c r="L274" s="24" t="s">
        <v>28</v>
      </c>
      <c r="M274" s="24" t="s">
        <v>29</v>
      </c>
      <c r="N274" s="24" t="s">
        <v>30</v>
      </c>
      <c r="O274" s="24" t="s">
        <v>31</v>
      </c>
      <c r="P274" s="24" t="s">
        <v>67</v>
      </c>
      <c r="Q274" s="24" t="s">
        <v>33</v>
      </c>
      <c r="R274" s="24" t="s">
        <v>34</v>
      </c>
    </row>
    <row r="275" spans="1:18" ht="18" customHeight="1">
      <c r="A275" s="28">
        <v>71</v>
      </c>
      <c r="B275" s="1" t="s">
        <v>7</v>
      </c>
      <c r="C275" s="5" t="s">
        <v>77</v>
      </c>
      <c r="D275" s="1">
        <v>100</v>
      </c>
      <c r="E275" s="1">
        <v>18.940000000000001</v>
      </c>
      <c r="F275" s="68">
        <v>0.8</v>
      </c>
      <c r="G275" s="68">
        <v>0</v>
      </c>
      <c r="H275" s="68">
        <v>3.3</v>
      </c>
      <c r="I275" s="2">
        <v>16</v>
      </c>
      <c r="J275" s="70"/>
      <c r="K275" s="2">
        <v>23</v>
      </c>
      <c r="L275" s="2">
        <v>0</v>
      </c>
      <c r="M275" s="2">
        <v>0</v>
      </c>
      <c r="N275" s="2">
        <v>0.5</v>
      </c>
      <c r="O275" s="2">
        <v>0</v>
      </c>
      <c r="P275" s="2">
        <v>0</v>
      </c>
      <c r="Q275" s="2">
        <v>0</v>
      </c>
      <c r="R275" s="2">
        <v>5</v>
      </c>
    </row>
    <row r="276" spans="1:18" ht="18" customHeight="1">
      <c r="A276" s="1">
        <v>102</v>
      </c>
      <c r="B276" s="1" t="s">
        <v>8</v>
      </c>
      <c r="C276" s="4" t="s">
        <v>109</v>
      </c>
      <c r="D276" s="32">
        <v>250</v>
      </c>
      <c r="E276" s="1">
        <v>8.7899999999999991</v>
      </c>
      <c r="F276" s="2">
        <f>5.1*250/200</f>
        <v>6.375</v>
      </c>
      <c r="G276" s="2">
        <f>5.4*250/200</f>
        <v>6.75</v>
      </c>
      <c r="H276" s="2">
        <f>23.9*250/200</f>
        <v>29.875</v>
      </c>
      <c r="I276" s="2">
        <f>163.8*250/200</f>
        <v>204.75</v>
      </c>
      <c r="J276" s="71"/>
      <c r="K276" s="2">
        <f>45.8*250/200</f>
        <v>57.25</v>
      </c>
      <c r="L276" s="2">
        <f>35.5*250/200</f>
        <v>44.375</v>
      </c>
      <c r="M276" s="2">
        <v>0</v>
      </c>
      <c r="N276" s="2">
        <f>4.6*250/200</f>
        <v>5.75</v>
      </c>
      <c r="O276" s="2">
        <v>0</v>
      </c>
      <c r="P276" s="2">
        <v>0</v>
      </c>
      <c r="Q276" s="2">
        <v>0</v>
      </c>
      <c r="R276" s="2">
        <f>11.2*250/200</f>
        <v>14</v>
      </c>
    </row>
    <row r="277" spans="1:18" ht="18" customHeight="1">
      <c r="A277" s="1">
        <v>234</v>
      </c>
      <c r="B277" s="1" t="s">
        <v>9</v>
      </c>
      <c r="C277" s="45" t="s">
        <v>52</v>
      </c>
      <c r="D277" s="1" t="s">
        <v>95</v>
      </c>
      <c r="E277" s="2">
        <v>37.799999999999997</v>
      </c>
      <c r="F277" s="2">
        <v>14.8</v>
      </c>
      <c r="G277" s="2">
        <v>18.8</v>
      </c>
      <c r="H277" s="2">
        <v>11.6</v>
      </c>
      <c r="I277" s="2">
        <v>274</v>
      </c>
      <c r="J277" s="49"/>
      <c r="K277" s="2">
        <v>139.30000000000001</v>
      </c>
      <c r="L277" s="2">
        <v>0</v>
      </c>
      <c r="M277" s="2">
        <v>0</v>
      </c>
      <c r="N277" s="2">
        <v>1</v>
      </c>
      <c r="O277" s="2">
        <v>0</v>
      </c>
      <c r="P277" s="2">
        <v>0.2</v>
      </c>
      <c r="Q277" s="2">
        <v>0</v>
      </c>
      <c r="R277" s="2">
        <v>6.8</v>
      </c>
    </row>
    <row r="278" spans="1:18" ht="18" customHeight="1">
      <c r="A278" s="76">
        <v>321</v>
      </c>
      <c r="B278" s="76" t="s">
        <v>13</v>
      </c>
      <c r="C278" s="77" t="s">
        <v>23</v>
      </c>
      <c r="D278" s="47">
        <v>180</v>
      </c>
      <c r="E278" s="52">
        <v>21.49</v>
      </c>
      <c r="F278" s="52">
        <f>4*180/200</f>
        <v>3.6</v>
      </c>
      <c r="G278" s="52">
        <f>7.2*180/200</f>
        <v>6.48</v>
      </c>
      <c r="H278" s="52">
        <f>21.2*180/200</f>
        <v>19.079999999999998</v>
      </c>
      <c r="I278" s="52">
        <f>166*180/200</f>
        <v>149.4</v>
      </c>
      <c r="J278" s="78"/>
      <c r="K278" s="52">
        <f>93.2*180/200</f>
        <v>83.88</v>
      </c>
      <c r="L278" s="52">
        <f>30.7*180/200</f>
        <v>27.63</v>
      </c>
      <c r="M278" s="52">
        <f>62.3*180/200</f>
        <v>56.07</v>
      </c>
      <c r="N278" s="52">
        <f>1.2*180/200</f>
        <v>1.08</v>
      </c>
      <c r="O278" s="52">
        <f>0.4*180/200</f>
        <v>0.36</v>
      </c>
      <c r="P278" s="52">
        <f>19.2*180/200</f>
        <v>17.28</v>
      </c>
      <c r="Q278" s="52">
        <f>1.3*180/200</f>
        <v>1.17</v>
      </c>
      <c r="R278" s="52">
        <f>80.7*180/200</f>
        <v>72.63</v>
      </c>
    </row>
    <row r="279" spans="1:18" ht="18" customHeight="1">
      <c r="A279" s="1">
        <v>349</v>
      </c>
      <c r="B279" s="1" t="s">
        <v>14</v>
      </c>
      <c r="C279" s="4" t="s">
        <v>50</v>
      </c>
      <c r="D279" s="32">
        <v>200</v>
      </c>
      <c r="E279" s="1">
        <v>7.02</v>
      </c>
      <c r="F279" s="2">
        <v>0.6</v>
      </c>
      <c r="G279" s="2">
        <v>0.09</v>
      </c>
      <c r="H279" s="2">
        <v>32.01</v>
      </c>
      <c r="I279" s="2">
        <v>132.80000000000001</v>
      </c>
      <c r="J279" s="49"/>
      <c r="K279" s="2">
        <v>32.479999999999997</v>
      </c>
      <c r="L279" s="2">
        <v>17.46</v>
      </c>
      <c r="M279" s="2">
        <v>23.44</v>
      </c>
      <c r="N279" s="2">
        <v>0.7</v>
      </c>
      <c r="O279" s="2">
        <v>0</v>
      </c>
      <c r="P279" s="2">
        <v>0.02</v>
      </c>
      <c r="Q279" s="2">
        <v>0.26</v>
      </c>
      <c r="R279" s="2">
        <v>0.73</v>
      </c>
    </row>
    <row r="280" spans="1:18" ht="18" customHeight="1">
      <c r="A280" s="1"/>
      <c r="B280" s="1" t="s">
        <v>15</v>
      </c>
      <c r="C280" s="4" t="s">
        <v>84</v>
      </c>
      <c r="D280" s="32">
        <v>40</v>
      </c>
      <c r="E280" s="2">
        <v>2.93</v>
      </c>
      <c r="F280" s="2">
        <v>1.68</v>
      </c>
      <c r="G280" s="2">
        <v>0.33</v>
      </c>
      <c r="H280" s="2">
        <v>14.82</v>
      </c>
      <c r="I280" s="2">
        <v>68.97</v>
      </c>
      <c r="J280" s="49"/>
      <c r="K280" s="2">
        <v>6.9</v>
      </c>
      <c r="L280" s="2">
        <v>7.5</v>
      </c>
      <c r="M280" s="2">
        <v>31.799999999999997</v>
      </c>
      <c r="N280" s="2">
        <v>0.92999999999999994</v>
      </c>
      <c r="O280" s="2">
        <v>0</v>
      </c>
      <c r="P280" s="2">
        <v>0.03</v>
      </c>
      <c r="Q280" s="2">
        <v>0</v>
      </c>
      <c r="R280" s="2">
        <v>0</v>
      </c>
    </row>
    <row r="281" spans="1:18" ht="18" customHeight="1">
      <c r="A281" s="1"/>
      <c r="B281" s="1" t="s">
        <v>68</v>
      </c>
      <c r="C281" s="60" t="s">
        <v>70</v>
      </c>
      <c r="D281" s="32">
        <v>70</v>
      </c>
      <c r="E281" s="35">
        <v>5.13</v>
      </c>
      <c r="F281" s="2">
        <v>2.37</v>
      </c>
      <c r="G281" s="2">
        <v>0.3</v>
      </c>
      <c r="H281" s="2">
        <v>14.49</v>
      </c>
      <c r="I281" s="2">
        <v>70.14</v>
      </c>
      <c r="J281" s="49"/>
      <c r="K281" s="2">
        <v>6.8999999999999995</v>
      </c>
      <c r="L281" s="2">
        <v>9.8999999999999986</v>
      </c>
      <c r="M281" s="2">
        <v>26.099999999999998</v>
      </c>
      <c r="N281" s="2">
        <v>0.33</v>
      </c>
      <c r="O281" s="2">
        <v>0</v>
      </c>
      <c r="P281" s="2">
        <v>0.03</v>
      </c>
      <c r="Q281" s="2">
        <v>0</v>
      </c>
      <c r="R281" s="2">
        <v>0</v>
      </c>
    </row>
    <row r="282" spans="1:18" ht="18" customHeight="1">
      <c r="A282" s="1">
        <v>386</v>
      </c>
      <c r="B282" s="1" t="s">
        <v>80</v>
      </c>
      <c r="C282" s="27" t="s">
        <v>81</v>
      </c>
      <c r="D282" s="1">
        <v>100</v>
      </c>
      <c r="E282" s="2">
        <v>15.45</v>
      </c>
      <c r="F282" s="2">
        <v>3</v>
      </c>
      <c r="G282" s="2">
        <v>1</v>
      </c>
      <c r="H282" s="2">
        <v>4.2</v>
      </c>
      <c r="I282" s="2">
        <v>40</v>
      </c>
      <c r="J282" s="49"/>
      <c r="K282" s="2">
        <v>124</v>
      </c>
      <c r="L282" s="2">
        <v>14</v>
      </c>
      <c r="M282" s="2">
        <v>92</v>
      </c>
      <c r="N282" s="2">
        <v>0.1</v>
      </c>
      <c r="O282" s="2">
        <v>0</v>
      </c>
      <c r="P282" s="2">
        <v>0.03</v>
      </c>
      <c r="Q282" s="2">
        <v>0.1</v>
      </c>
      <c r="R282" s="2">
        <v>0.3</v>
      </c>
    </row>
    <row r="283" spans="1:18" ht="18" customHeight="1">
      <c r="A283" s="114" t="s">
        <v>11</v>
      </c>
      <c r="B283" s="114"/>
      <c r="C283" s="114"/>
      <c r="D283" s="62">
        <v>1045</v>
      </c>
      <c r="E283" s="62">
        <f t="shared" ref="E283:R283" si="25">SUM(E275:E282)</f>
        <v>117.55</v>
      </c>
      <c r="F283" s="13">
        <f t="shared" si="25"/>
        <v>33.225000000000009</v>
      </c>
      <c r="G283" s="13">
        <f t="shared" si="25"/>
        <v>33.75</v>
      </c>
      <c r="H283" s="13">
        <f t="shared" si="25"/>
        <v>129.375</v>
      </c>
      <c r="I283" s="13">
        <f t="shared" si="25"/>
        <v>956.06000000000006</v>
      </c>
      <c r="J283" s="13">
        <f t="shared" si="25"/>
        <v>0</v>
      </c>
      <c r="K283" s="13">
        <f t="shared" si="25"/>
        <v>473.71</v>
      </c>
      <c r="L283" s="13">
        <f t="shared" si="25"/>
        <v>120.86500000000001</v>
      </c>
      <c r="M283" s="13">
        <f t="shared" si="25"/>
        <v>229.41</v>
      </c>
      <c r="N283" s="13">
        <f t="shared" si="25"/>
        <v>10.389999999999999</v>
      </c>
      <c r="O283" s="13">
        <f t="shared" si="25"/>
        <v>0.36</v>
      </c>
      <c r="P283" s="13">
        <f t="shared" si="25"/>
        <v>17.590000000000003</v>
      </c>
      <c r="Q283" s="13">
        <f t="shared" si="25"/>
        <v>1.53</v>
      </c>
      <c r="R283" s="13">
        <f t="shared" si="25"/>
        <v>99.46</v>
      </c>
    </row>
    <row r="284" spans="1:18" ht="18" customHeight="1">
      <c r="A284" s="113" t="s">
        <v>17</v>
      </c>
      <c r="B284" s="113"/>
      <c r="C284" s="113"/>
      <c r="D284" s="113"/>
      <c r="E284" s="13">
        <f t="shared" ref="E284:R284" si="26">E271+E283</f>
        <v>173.32999999999998</v>
      </c>
      <c r="F284" s="13">
        <f t="shared" si="26"/>
        <v>52.350000000000009</v>
      </c>
      <c r="G284" s="13">
        <f t="shared" si="26"/>
        <v>53.275000000000006</v>
      </c>
      <c r="H284" s="13">
        <f t="shared" si="26"/>
        <v>225.17000000000002</v>
      </c>
      <c r="I284" s="13">
        <f t="shared" si="26"/>
        <v>1591.06</v>
      </c>
      <c r="J284" s="13">
        <f t="shared" si="26"/>
        <v>0</v>
      </c>
      <c r="K284" s="13">
        <f t="shared" si="26"/>
        <v>759.3599999999999</v>
      </c>
      <c r="L284" s="13">
        <f t="shared" si="26"/>
        <v>181.44</v>
      </c>
      <c r="M284" s="13">
        <f t="shared" si="26"/>
        <v>570.93499999999995</v>
      </c>
      <c r="N284" s="13">
        <f t="shared" si="26"/>
        <v>14.645</v>
      </c>
      <c r="O284" s="13">
        <f t="shared" si="26"/>
        <v>146.23500000000001</v>
      </c>
      <c r="P284" s="13">
        <f t="shared" si="26"/>
        <v>17.825000000000003</v>
      </c>
      <c r="Q284" s="13">
        <f t="shared" si="26"/>
        <v>1.81</v>
      </c>
      <c r="R284" s="13">
        <f t="shared" si="26"/>
        <v>101.035</v>
      </c>
    </row>
    <row r="285" spans="1:18">
      <c r="A285" s="16"/>
      <c r="B285" s="16"/>
      <c r="C285" s="16"/>
      <c r="D285" s="16"/>
      <c r="E285" s="18"/>
      <c r="F285" s="18"/>
      <c r="G285" s="18"/>
      <c r="H285" s="18"/>
      <c r="I285" s="18"/>
      <c r="J285" s="20"/>
      <c r="K285" s="18"/>
      <c r="L285" s="18"/>
      <c r="M285" s="18"/>
      <c r="N285" s="18"/>
      <c r="O285" s="18"/>
      <c r="P285" s="18"/>
      <c r="Q285" s="18"/>
      <c r="R285" s="18"/>
    </row>
    <row r="286" spans="1:18">
      <c r="A286" s="16"/>
      <c r="B286" s="16"/>
      <c r="C286" s="16"/>
      <c r="D286" s="16"/>
      <c r="E286" s="18"/>
      <c r="F286" s="18"/>
      <c r="G286" s="18"/>
      <c r="H286" s="18"/>
      <c r="I286" s="18"/>
      <c r="J286" s="20"/>
      <c r="K286" s="18"/>
      <c r="L286" s="18"/>
      <c r="M286" s="18"/>
      <c r="N286" s="18"/>
      <c r="O286" s="18"/>
      <c r="P286" s="18"/>
      <c r="Q286" s="18"/>
      <c r="R286" s="18"/>
    </row>
    <row r="287" spans="1:18">
      <c r="A287" s="16"/>
      <c r="B287" s="16"/>
      <c r="C287" s="16"/>
      <c r="D287" s="16"/>
      <c r="E287" s="18"/>
      <c r="F287" s="18"/>
      <c r="G287" s="18"/>
      <c r="H287" s="18"/>
      <c r="I287" s="18"/>
      <c r="J287" s="20"/>
      <c r="K287" s="18"/>
      <c r="L287" s="18"/>
      <c r="M287" s="18"/>
      <c r="N287" s="18"/>
      <c r="O287" s="18"/>
      <c r="P287" s="18"/>
      <c r="Q287" s="18"/>
      <c r="R287" s="18"/>
    </row>
    <row r="288" spans="1:18">
      <c r="A288" s="98" t="s">
        <v>37</v>
      </c>
      <c r="B288" s="98"/>
      <c r="C288" s="98"/>
      <c r="D288" s="16"/>
      <c r="E288" s="18"/>
      <c r="F288" s="18"/>
      <c r="G288" s="18"/>
      <c r="H288" s="18"/>
      <c r="I288" s="18"/>
      <c r="J288" s="20"/>
      <c r="K288" s="18"/>
      <c r="L288" s="18"/>
      <c r="M288" s="102" t="s">
        <v>114</v>
      </c>
      <c r="N288" s="102"/>
      <c r="O288" s="102"/>
      <c r="P288" s="102"/>
      <c r="Q288" s="102"/>
      <c r="R288" s="102"/>
    </row>
    <row r="289" spans="1:18">
      <c r="A289" s="99" t="s">
        <v>49</v>
      </c>
      <c r="B289" s="99"/>
      <c r="C289" s="99"/>
      <c r="D289" s="16"/>
      <c r="E289" s="18"/>
      <c r="F289" s="18"/>
      <c r="G289" s="18"/>
      <c r="H289" s="18"/>
      <c r="I289" s="18"/>
      <c r="J289" s="20"/>
      <c r="K289" s="18"/>
      <c r="L289" s="18"/>
      <c r="M289" s="103" t="s">
        <v>122</v>
      </c>
      <c r="N289" s="103"/>
      <c r="O289" s="103"/>
      <c r="P289" s="103"/>
      <c r="Q289" s="103"/>
      <c r="R289" s="103"/>
    </row>
    <row r="290" spans="1:18">
      <c r="A290" s="100" t="s">
        <v>111</v>
      </c>
      <c r="B290" s="100"/>
      <c r="C290" s="100"/>
      <c r="D290" s="16"/>
      <c r="E290" s="18"/>
      <c r="F290" s="18"/>
      <c r="G290" s="18"/>
      <c r="H290" s="18"/>
      <c r="I290" s="18"/>
      <c r="J290" s="20"/>
      <c r="K290" s="18"/>
      <c r="L290" s="18"/>
      <c r="M290" s="103" t="s">
        <v>117</v>
      </c>
      <c r="N290" s="103"/>
      <c r="O290" s="103"/>
      <c r="P290" s="103"/>
      <c r="Q290" s="103"/>
      <c r="R290" s="103"/>
    </row>
    <row r="291" spans="1:18">
      <c r="A291" s="101" t="s">
        <v>110</v>
      </c>
      <c r="B291" s="101"/>
      <c r="C291" s="101"/>
      <c r="D291" s="16"/>
      <c r="E291" s="18"/>
      <c r="F291" s="18"/>
      <c r="G291" s="18"/>
      <c r="H291" s="18"/>
      <c r="I291" s="18"/>
      <c r="J291" s="20"/>
      <c r="K291" s="18"/>
      <c r="L291" s="18"/>
      <c r="M291" s="104" t="s">
        <v>123</v>
      </c>
      <c r="N291" s="104"/>
      <c r="O291" s="104"/>
      <c r="P291" s="104"/>
      <c r="Q291" s="104"/>
      <c r="R291" s="104"/>
    </row>
    <row r="292" spans="1:18" ht="18.75">
      <c r="A292" s="95" t="s">
        <v>5</v>
      </c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</row>
    <row r="293" spans="1:18" ht="15.75">
      <c r="A293" s="96" t="s">
        <v>6</v>
      </c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</row>
    <row r="294" spans="1:18" ht="15.75">
      <c r="A294" s="97" t="s">
        <v>101</v>
      </c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</row>
    <row r="295" spans="1:18" ht="18" customHeight="1">
      <c r="A295" s="109" t="s">
        <v>46</v>
      </c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1"/>
    </row>
    <row r="296" spans="1:18" ht="18.75" customHeight="1">
      <c r="A296" s="115" t="s">
        <v>4</v>
      </c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</row>
    <row r="297" spans="1:18" ht="18" customHeight="1">
      <c r="A297" s="112" t="s">
        <v>26</v>
      </c>
      <c r="B297" s="108" t="s">
        <v>0</v>
      </c>
      <c r="C297" s="112" t="s">
        <v>35</v>
      </c>
      <c r="D297" s="108" t="s">
        <v>1</v>
      </c>
      <c r="E297" s="108" t="s">
        <v>2</v>
      </c>
      <c r="F297" s="105" t="s">
        <v>58</v>
      </c>
      <c r="G297" s="105" t="s">
        <v>59</v>
      </c>
      <c r="H297" s="105" t="s">
        <v>60</v>
      </c>
      <c r="I297" s="108" t="s">
        <v>3</v>
      </c>
      <c r="J297" s="15"/>
      <c r="K297" s="8" t="s">
        <v>61</v>
      </c>
      <c r="L297" s="8"/>
      <c r="M297" s="8"/>
      <c r="N297" s="8"/>
      <c r="O297" s="108" t="s">
        <v>62</v>
      </c>
      <c r="P297" s="108"/>
      <c r="Q297" s="108"/>
      <c r="R297" s="108"/>
    </row>
    <row r="298" spans="1:18" ht="15" customHeight="1">
      <c r="A298" s="112"/>
      <c r="B298" s="108"/>
      <c r="C298" s="112"/>
      <c r="D298" s="108"/>
      <c r="E298" s="108"/>
      <c r="F298" s="107"/>
      <c r="G298" s="107"/>
      <c r="H298" s="107"/>
      <c r="I298" s="108"/>
      <c r="J298" s="15"/>
      <c r="K298" s="30" t="s">
        <v>27</v>
      </c>
      <c r="L298" s="24" t="s">
        <v>28</v>
      </c>
      <c r="M298" s="24" t="s">
        <v>29</v>
      </c>
      <c r="N298" s="24" t="s">
        <v>30</v>
      </c>
      <c r="O298" s="24" t="s">
        <v>31</v>
      </c>
      <c r="P298" s="24" t="s">
        <v>67</v>
      </c>
      <c r="Q298" s="24" t="s">
        <v>33</v>
      </c>
      <c r="R298" s="24" t="s">
        <v>34</v>
      </c>
    </row>
    <row r="299" spans="1:18" ht="18" customHeight="1">
      <c r="A299" s="1" t="s">
        <v>104</v>
      </c>
      <c r="B299" s="32" t="s">
        <v>7</v>
      </c>
      <c r="C299" s="45" t="s">
        <v>48</v>
      </c>
      <c r="D299" s="32" t="s">
        <v>103</v>
      </c>
      <c r="E299" s="32">
        <v>54.89</v>
      </c>
      <c r="F299" s="35">
        <v>11.666666666666666</v>
      </c>
      <c r="G299" s="35">
        <v>19.111111111111111</v>
      </c>
      <c r="H299" s="2">
        <v>17.333333333333332</v>
      </c>
      <c r="I299" s="2">
        <v>287</v>
      </c>
      <c r="J299" s="71"/>
      <c r="K299" s="2">
        <v>56.222222222222221</v>
      </c>
      <c r="L299" s="2">
        <v>27.666666666666668</v>
      </c>
      <c r="M299" s="2">
        <v>137.55555555555554</v>
      </c>
      <c r="N299" s="2">
        <v>1.2222222222222223</v>
      </c>
      <c r="O299" s="2">
        <v>49.666666666666664</v>
      </c>
      <c r="P299" s="2">
        <v>3.5000000000000003E-2</v>
      </c>
      <c r="Q299" s="2">
        <v>0</v>
      </c>
      <c r="R299" s="2">
        <v>1.2222222222222223</v>
      </c>
    </row>
    <row r="300" spans="1:18" ht="18" customHeight="1">
      <c r="A300" s="1">
        <v>171</v>
      </c>
      <c r="B300" s="1" t="s">
        <v>8</v>
      </c>
      <c r="C300" s="44" t="s">
        <v>53</v>
      </c>
      <c r="D300" s="1">
        <v>180</v>
      </c>
      <c r="E300" s="2">
        <v>18.28</v>
      </c>
      <c r="F300" s="2">
        <v>7.56</v>
      </c>
      <c r="G300" s="2">
        <v>11.88</v>
      </c>
      <c r="H300" s="2">
        <v>56.04</v>
      </c>
      <c r="I300" s="2">
        <v>300.89999999999998</v>
      </c>
      <c r="J300" s="49"/>
      <c r="K300" s="2">
        <v>136.69999999999999</v>
      </c>
      <c r="L300" s="2">
        <v>1.4</v>
      </c>
      <c r="M300" s="2">
        <v>22.2</v>
      </c>
      <c r="N300" s="2">
        <v>1.2</v>
      </c>
      <c r="O300" s="2">
        <v>1.2</v>
      </c>
      <c r="P300" s="2">
        <v>0.1</v>
      </c>
      <c r="Q300" s="2">
        <v>0</v>
      </c>
      <c r="R300" s="2">
        <v>0</v>
      </c>
    </row>
    <row r="301" spans="1:18" ht="18" customHeight="1">
      <c r="A301" s="1"/>
      <c r="B301" s="1" t="s">
        <v>9</v>
      </c>
      <c r="C301" s="27" t="s">
        <v>66</v>
      </c>
      <c r="D301" s="1">
        <v>40</v>
      </c>
      <c r="E301" s="2">
        <v>2.93</v>
      </c>
      <c r="F301" s="2">
        <v>3.16</v>
      </c>
      <c r="G301" s="2">
        <v>0.4</v>
      </c>
      <c r="H301" s="2">
        <v>19.32</v>
      </c>
      <c r="I301" s="2">
        <v>93.52</v>
      </c>
      <c r="J301" s="49"/>
      <c r="K301" s="2">
        <v>9.1999999999999993</v>
      </c>
      <c r="L301" s="2">
        <v>13.2</v>
      </c>
      <c r="M301" s="2">
        <v>34.799999999999997</v>
      </c>
      <c r="N301" s="2">
        <v>0.44</v>
      </c>
      <c r="O301" s="2">
        <v>0</v>
      </c>
      <c r="P301" s="2">
        <v>0.04</v>
      </c>
      <c r="Q301" s="2">
        <v>0.09</v>
      </c>
      <c r="R301" s="2">
        <v>0.1</v>
      </c>
    </row>
    <row r="302" spans="1:18" ht="18" customHeight="1">
      <c r="A302" s="1">
        <v>376</v>
      </c>
      <c r="B302" s="1" t="s">
        <v>13</v>
      </c>
      <c r="C302" s="27" t="s">
        <v>16</v>
      </c>
      <c r="D302" s="1">
        <v>200</v>
      </c>
      <c r="E302" s="2">
        <v>1.89</v>
      </c>
      <c r="F302" s="2">
        <v>0.1</v>
      </c>
      <c r="G302" s="2">
        <v>0</v>
      </c>
      <c r="H302" s="2">
        <v>15</v>
      </c>
      <c r="I302" s="2">
        <v>60</v>
      </c>
      <c r="J302" s="49"/>
      <c r="K302" s="2">
        <v>5</v>
      </c>
      <c r="L302" s="2">
        <v>0</v>
      </c>
      <c r="M302" s="2">
        <v>0</v>
      </c>
      <c r="N302" s="2">
        <v>2</v>
      </c>
      <c r="O302" s="74">
        <v>0</v>
      </c>
      <c r="P302" s="74">
        <v>0</v>
      </c>
      <c r="Q302" s="74">
        <v>0</v>
      </c>
      <c r="R302" s="74">
        <v>0</v>
      </c>
    </row>
    <row r="303" spans="1:18" ht="18" customHeight="1">
      <c r="A303" s="114" t="s">
        <v>11</v>
      </c>
      <c r="B303" s="114"/>
      <c r="C303" s="114"/>
      <c r="D303" s="24">
        <v>550</v>
      </c>
      <c r="E303" s="13">
        <f>SUM(E298:E302)</f>
        <v>77.990000000000009</v>
      </c>
      <c r="F303" s="13">
        <f>SUM(F298:F302)</f>
        <v>22.486666666666668</v>
      </c>
      <c r="G303" s="13">
        <f>SUM(G298:G302)</f>
        <v>31.391111111111108</v>
      </c>
      <c r="H303" s="13">
        <f>SUM(H298:H302)</f>
        <v>107.69333333333333</v>
      </c>
      <c r="I303" s="13">
        <f>SUM(I298:I302)</f>
        <v>741.42</v>
      </c>
      <c r="J303" s="49"/>
      <c r="K303" s="13">
        <f t="shared" ref="K303:R303" si="27">SUM(K299:K302)</f>
        <v>207.12222222222221</v>
      </c>
      <c r="L303" s="13">
        <f t="shared" si="27"/>
        <v>42.266666666666666</v>
      </c>
      <c r="M303" s="13">
        <f t="shared" si="27"/>
        <v>194.55555555555554</v>
      </c>
      <c r="N303" s="13">
        <f t="shared" si="27"/>
        <v>4.862222222222222</v>
      </c>
      <c r="O303" s="13">
        <f t="shared" si="27"/>
        <v>50.866666666666667</v>
      </c>
      <c r="P303" s="13">
        <f t="shared" si="27"/>
        <v>0.17500000000000002</v>
      </c>
      <c r="Q303" s="13">
        <f t="shared" si="27"/>
        <v>0.09</v>
      </c>
      <c r="R303" s="13">
        <f t="shared" si="27"/>
        <v>1.3222222222222224</v>
      </c>
    </row>
    <row r="304" spans="1:18" ht="18" customHeight="1">
      <c r="A304" s="116" t="s">
        <v>12</v>
      </c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8"/>
    </row>
    <row r="305" spans="1:18" ht="18" customHeight="1">
      <c r="A305" s="112" t="s">
        <v>26</v>
      </c>
      <c r="B305" s="108" t="s">
        <v>0</v>
      </c>
      <c r="C305" s="112" t="s">
        <v>35</v>
      </c>
      <c r="D305" s="108" t="s">
        <v>1</v>
      </c>
      <c r="E305" s="108" t="s">
        <v>2</v>
      </c>
      <c r="F305" s="105" t="s">
        <v>58</v>
      </c>
      <c r="G305" s="105" t="s">
        <v>59</v>
      </c>
      <c r="H305" s="105" t="s">
        <v>60</v>
      </c>
      <c r="I305" s="108" t="s">
        <v>3</v>
      </c>
      <c r="J305" s="15"/>
      <c r="K305" s="8" t="s">
        <v>61</v>
      </c>
      <c r="L305" s="8"/>
      <c r="M305" s="8"/>
      <c r="N305" s="8"/>
      <c r="O305" s="108" t="s">
        <v>62</v>
      </c>
      <c r="P305" s="108"/>
      <c r="Q305" s="108"/>
      <c r="R305" s="108"/>
    </row>
    <row r="306" spans="1:18" ht="15" customHeight="1">
      <c r="A306" s="112"/>
      <c r="B306" s="108"/>
      <c r="C306" s="112"/>
      <c r="D306" s="108"/>
      <c r="E306" s="108"/>
      <c r="F306" s="107"/>
      <c r="G306" s="107"/>
      <c r="H306" s="107"/>
      <c r="I306" s="108"/>
      <c r="J306" s="15"/>
      <c r="K306" s="30" t="s">
        <v>27</v>
      </c>
      <c r="L306" s="24" t="s">
        <v>28</v>
      </c>
      <c r="M306" s="24" t="s">
        <v>29</v>
      </c>
      <c r="N306" s="24" t="s">
        <v>30</v>
      </c>
      <c r="O306" s="24" t="s">
        <v>31</v>
      </c>
      <c r="P306" s="24" t="s">
        <v>67</v>
      </c>
      <c r="Q306" s="24" t="s">
        <v>33</v>
      </c>
      <c r="R306" s="24" t="s">
        <v>34</v>
      </c>
    </row>
    <row r="307" spans="1:18" ht="18" customHeight="1">
      <c r="A307" s="28">
        <v>52</v>
      </c>
      <c r="B307" s="1" t="s">
        <v>7</v>
      </c>
      <c r="C307" s="5" t="s">
        <v>78</v>
      </c>
      <c r="D307" s="1">
        <v>100</v>
      </c>
      <c r="E307" s="2">
        <v>9.6300000000000008</v>
      </c>
      <c r="F307" s="68">
        <v>1.7</v>
      </c>
      <c r="G307" s="68">
        <v>6</v>
      </c>
      <c r="H307" s="68">
        <v>11</v>
      </c>
      <c r="I307" s="2">
        <v>104</v>
      </c>
      <c r="J307" s="2"/>
      <c r="K307" s="2">
        <v>35.200000000000003</v>
      </c>
      <c r="L307" s="2">
        <v>20.8</v>
      </c>
      <c r="M307" s="2">
        <v>41</v>
      </c>
      <c r="N307" s="2">
        <v>1.3</v>
      </c>
      <c r="O307" s="2">
        <v>0</v>
      </c>
      <c r="P307" s="2">
        <v>0</v>
      </c>
      <c r="Q307" s="2">
        <v>0.2</v>
      </c>
      <c r="R307" s="2">
        <v>9.5</v>
      </c>
    </row>
    <row r="308" spans="1:18" ht="18" customHeight="1">
      <c r="A308" s="1">
        <v>96</v>
      </c>
      <c r="B308" s="1" t="s">
        <v>8</v>
      </c>
      <c r="C308" s="4" t="s">
        <v>64</v>
      </c>
      <c r="D308" s="32">
        <v>250</v>
      </c>
      <c r="E308" s="2">
        <v>13.98</v>
      </c>
      <c r="F308" s="2">
        <v>2.1</v>
      </c>
      <c r="G308" s="2">
        <v>5.0999999999999996</v>
      </c>
      <c r="H308" s="2">
        <v>20.5</v>
      </c>
      <c r="I308" s="2">
        <v>136.30000000000001</v>
      </c>
      <c r="J308" s="70"/>
      <c r="K308" s="2">
        <v>89.3</v>
      </c>
      <c r="L308" s="2">
        <v>13.5</v>
      </c>
      <c r="M308" s="2">
        <v>33.4</v>
      </c>
      <c r="N308" s="2">
        <v>1</v>
      </c>
      <c r="O308" s="2">
        <v>1.1000000000000001</v>
      </c>
      <c r="P308" s="2">
        <v>3.8</v>
      </c>
      <c r="Q308" s="2">
        <v>0.3</v>
      </c>
      <c r="R308" s="2">
        <v>2.1</v>
      </c>
    </row>
    <row r="309" spans="1:18" ht="17.25" customHeight="1">
      <c r="A309" s="1">
        <v>291</v>
      </c>
      <c r="B309" s="1" t="s">
        <v>9</v>
      </c>
      <c r="C309" s="4" t="s">
        <v>120</v>
      </c>
      <c r="D309" s="1">
        <v>280</v>
      </c>
      <c r="E309" s="2">
        <v>64.13</v>
      </c>
      <c r="F309" s="2">
        <v>33.6</v>
      </c>
      <c r="G309" s="2">
        <v>42.82</v>
      </c>
      <c r="H309" s="1">
        <v>54.37</v>
      </c>
      <c r="I309" s="2">
        <v>737.56</v>
      </c>
      <c r="J309" s="27"/>
      <c r="K309" s="1">
        <v>72.680000000000007</v>
      </c>
      <c r="L309" s="1">
        <v>76.42</v>
      </c>
      <c r="M309" s="2">
        <v>321.18</v>
      </c>
      <c r="N309" s="2">
        <v>3.62</v>
      </c>
      <c r="O309" s="1">
        <v>77.349999999999994</v>
      </c>
      <c r="P309" s="74">
        <v>0.03</v>
      </c>
      <c r="Q309" s="74">
        <v>0</v>
      </c>
      <c r="R309" s="1">
        <v>1.63</v>
      </c>
    </row>
    <row r="310" spans="1:18" ht="18" customHeight="1">
      <c r="A310" s="1"/>
      <c r="B310" s="1" t="s">
        <v>13</v>
      </c>
      <c r="C310" s="4" t="s">
        <v>57</v>
      </c>
      <c r="D310" s="1">
        <v>200</v>
      </c>
      <c r="E310" s="2">
        <v>14</v>
      </c>
      <c r="F310" s="2">
        <v>0.2</v>
      </c>
      <c r="G310" s="2">
        <v>0</v>
      </c>
      <c r="H310" s="2">
        <v>3.9</v>
      </c>
      <c r="I310" s="2">
        <v>16</v>
      </c>
      <c r="J310" s="71"/>
      <c r="K310" s="2">
        <v>0.24</v>
      </c>
      <c r="L310" s="2">
        <v>0.2</v>
      </c>
      <c r="M310" s="2">
        <v>0.5</v>
      </c>
      <c r="N310" s="2">
        <v>7</v>
      </c>
      <c r="O310" s="2">
        <v>0</v>
      </c>
      <c r="P310" s="2">
        <v>0.1</v>
      </c>
      <c r="Q310" s="2">
        <v>0</v>
      </c>
      <c r="R310" s="2">
        <v>6</v>
      </c>
    </row>
    <row r="311" spans="1:18" ht="18" customHeight="1">
      <c r="A311" s="1"/>
      <c r="B311" s="1" t="s">
        <v>14</v>
      </c>
      <c r="C311" s="4" t="s">
        <v>84</v>
      </c>
      <c r="D311" s="32">
        <v>40</v>
      </c>
      <c r="E311" s="2">
        <v>2.93</v>
      </c>
      <c r="F311" s="2">
        <v>1.68</v>
      </c>
      <c r="G311" s="2">
        <v>0.33</v>
      </c>
      <c r="H311" s="2">
        <v>14.82</v>
      </c>
      <c r="I311" s="2">
        <v>68.97</v>
      </c>
      <c r="J311" s="71"/>
      <c r="K311" s="2">
        <v>6.9</v>
      </c>
      <c r="L311" s="2">
        <v>7.5</v>
      </c>
      <c r="M311" s="57">
        <v>31.799999999999997</v>
      </c>
      <c r="N311" s="2">
        <v>0.92999999999999994</v>
      </c>
      <c r="O311" s="57">
        <v>0</v>
      </c>
      <c r="P311" s="57">
        <v>0.03</v>
      </c>
      <c r="Q311" s="57">
        <v>0</v>
      </c>
      <c r="R311" s="57">
        <v>0</v>
      </c>
    </row>
    <row r="312" spans="1:18" ht="18" customHeight="1">
      <c r="A312" s="1"/>
      <c r="B312" s="1" t="s">
        <v>15</v>
      </c>
      <c r="C312" s="60" t="s">
        <v>70</v>
      </c>
      <c r="D312" s="32">
        <v>70</v>
      </c>
      <c r="E312" s="35">
        <v>5.13</v>
      </c>
      <c r="F312" s="2">
        <v>2.37</v>
      </c>
      <c r="G312" s="2">
        <v>0.3</v>
      </c>
      <c r="H312" s="2">
        <v>14.49</v>
      </c>
      <c r="I312" s="2">
        <v>70.14</v>
      </c>
      <c r="J312" s="49"/>
      <c r="K312" s="2">
        <v>6.8999999999999995</v>
      </c>
      <c r="L312" s="2">
        <v>9.8999999999999986</v>
      </c>
      <c r="M312" s="2">
        <v>26.099999999999998</v>
      </c>
      <c r="N312" s="2">
        <v>0.33</v>
      </c>
      <c r="O312" s="2">
        <v>0</v>
      </c>
      <c r="P312" s="2">
        <v>0.03</v>
      </c>
      <c r="Q312" s="2">
        <v>0</v>
      </c>
      <c r="R312" s="2">
        <v>0</v>
      </c>
    </row>
    <row r="313" spans="1:18" ht="18" customHeight="1">
      <c r="A313" s="1">
        <v>386</v>
      </c>
      <c r="B313" s="1" t="s">
        <v>68</v>
      </c>
      <c r="C313" s="27" t="s">
        <v>82</v>
      </c>
      <c r="D313" s="1">
        <v>100</v>
      </c>
      <c r="E313" s="2">
        <v>15.45</v>
      </c>
      <c r="F313" s="2">
        <v>2.7</v>
      </c>
      <c r="G313" s="2">
        <v>2.5</v>
      </c>
      <c r="H313" s="2">
        <v>10.8</v>
      </c>
      <c r="I313" s="2">
        <v>79</v>
      </c>
      <c r="J313" s="49"/>
      <c r="K313" s="2">
        <v>121</v>
      </c>
      <c r="L313" s="2">
        <v>15</v>
      </c>
      <c r="M313" s="2">
        <v>94</v>
      </c>
      <c r="N313" s="2">
        <v>0.1</v>
      </c>
      <c r="O313" s="2">
        <v>20</v>
      </c>
      <c r="P313" s="2">
        <v>4.4999999999999998E-2</v>
      </c>
      <c r="Q313" s="2">
        <v>0.1</v>
      </c>
      <c r="R313" s="2">
        <v>1.35</v>
      </c>
    </row>
    <row r="314" spans="1:18" ht="18" customHeight="1">
      <c r="A314" s="114" t="s">
        <v>11</v>
      </c>
      <c r="B314" s="114"/>
      <c r="C314" s="114"/>
      <c r="D314" s="65">
        <v>1040</v>
      </c>
      <c r="E314" s="66">
        <f>SUM(E307:E313)</f>
        <v>125.25</v>
      </c>
      <c r="F314" s="66">
        <f>SUM(F307:F313)</f>
        <v>44.35</v>
      </c>
      <c r="G314" s="66">
        <f>SUM(G307:G313)</f>
        <v>57.05</v>
      </c>
      <c r="H314" s="66">
        <f>SUM(H307:H313)</f>
        <v>129.88</v>
      </c>
      <c r="I314" s="66">
        <f>SUM(I307:I313)</f>
        <v>1211.97</v>
      </c>
      <c r="J314" s="66"/>
      <c r="K314" s="66">
        <f t="shared" ref="K314:R314" si="28">SUM(K307:K313)</f>
        <v>332.22</v>
      </c>
      <c r="L314" s="66">
        <f t="shared" si="28"/>
        <v>143.32</v>
      </c>
      <c r="M314" s="66">
        <f t="shared" si="28"/>
        <v>547.98</v>
      </c>
      <c r="N314" s="66">
        <f t="shared" si="28"/>
        <v>14.28</v>
      </c>
      <c r="O314" s="66">
        <f t="shared" si="28"/>
        <v>98.449999999999989</v>
      </c>
      <c r="P314" s="66">
        <f t="shared" si="28"/>
        <v>4.0349999999999993</v>
      </c>
      <c r="Q314" s="66">
        <f t="shared" si="28"/>
        <v>0.6</v>
      </c>
      <c r="R314" s="66">
        <f t="shared" si="28"/>
        <v>20.580000000000002</v>
      </c>
    </row>
    <row r="315" spans="1:18" ht="18" customHeight="1">
      <c r="A315" s="113" t="s">
        <v>17</v>
      </c>
      <c r="B315" s="113"/>
      <c r="C315" s="113"/>
      <c r="D315" s="113"/>
      <c r="E315" s="13">
        <f t="shared" ref="E315:R315" si="29">E303+E314</f>
        <v>203.24</v>
      </c>
      <c r="F315" s="13">
        <f t="shared" si="29"/>
        <v>66.836666666666673</v>
      </c>
      <c r="G315" s="13">
        <f t="shared" si="29"/>
        <v>88.441111111111098</v>
      </c>
      <c r="H315" s="13">
        <f t="shared" si="29"/>
        <v>237.57333333333332</v>
      </c>
      <c r="I315" s="13">
        <f t="shared" si="29"/>
        <v>1953.3899999999999</v>
      </c>
      <c r="J315" s="13">
        <f t="shared" si="29"/>
        <v>0</v>
      </c>
      <c r="K315" s="13">
        <f t="shared" si="29"/>
        <v>539.34222222222229</v>
      </c>
      <c r="L315" s="13">
        <f t="shared" si="29"/>
        <v>185.58666666666664</v>
      </c>
      <c r="M315" s="13">
        <f t="shared" si="29"/>
        <v>742.53555555555556</v>
      </c>
      <c r="N315" s="13">
        <f t="shared" si="29"/>
        <v>19.142222222222223</v>
      </c>
      <c r="O315" s="13">
        <f t="shared" si="29"/>
        <v>149.31666666666666</v>
      </c>
      <c r="P315" s="13">
        <f t="shared" si="29"/>
        <v>4.2099999999999991</v>
      </c>
      <c r="Q315" s="13">
        <f t="shared" si="29"/>
        <v>0.69</v>
      </c>
      <c r="R315" s="13">
        <f t="shared" si="29"/>
        <v>21.902222222222225</v>
      </c>
    </row>
    <row r="316" spans="1:18" ht="18" customHeight="1">
      <c r="A316" s="58"/>
      <c r="B316" s="58"/>
      <c r="C316" s="58"/>
      <c r="D316" s="58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</row>
    <row r="317" spans="1:18" ht="18" customHeight="1">
      <c r="A317" s="58"/>
      <c r="B317" s="58"/>
      <c r="C317" s="58"/>
      <c r="D317" s="58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</row>
    <row r="318" spans="1:18" ht="18" customHeight="1">
      <c r="A318" s="58"/>
      <c r="B318" s="58"/>
      <c r="C318" s="58"/>
      <c r="D318" s="58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</row>
    <row r="319" spans="1:18" ht="18" customHeight="1">
      <c r="A319" s="58"/>
      <c r="B319" s="58"/>
      <c r="C319" s="80" t="s">
        <v>106</v>
      </c>
      <c r="D319" s="58"/>
      <c r="E319" s="59">
        <f>E18+E49+E82+E113+E145+E175+E206+E238+E271+E303</f>
        <v>859.75</v>
      </c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</row>
    <row r="320" spans="1:18" ht="18" customHeight="1">
      <c r="A320" s="58"/>
      <c r="B320" s="58"/>
      <c r="C320" s="80" t="s">
        <v>107</v>
      </c>
      <c r="D320" s="58"/>
      <c r="E320" s="59">
        <f>E319/10</f>
        <v>85.974999999999994</v>
      </c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</row>
    <row r="321" spans="1:18" ht="18" customHeight="1">
      <c r="A321" s="58"/>
      <c r="B321" s="58"/>
      <c r="C321" s="80" t="s">
        <v>108</v>
      </c>
      <c r="D321" s="58"/>
      <c r="E321" s="59"/>
      <c r="F321" s="59">
        <f>E29+E61+E93+E125+E155+E187+E218+E250+E283+E314</f>
        <v>1561.7099999999998</v>
      </c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</row>
    <row r="322" spans="1:18" ht="18" customHeight="1">
      <c r="A322" s="58"/>
      <c r="B322" s="58"/>
      <c r="C322" s="80" t="s">
        <v>107</v>
      </c>
      <c r="D322" s="58"/>
      <c r="E322" s="59"/>
      <c r="F322" s="59">
        <f>F321/10</f>
        <v>156.17099999999999</v>
      </c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</row>
    <row r="323" spans="1:18" ht="18" customHeight="1">
      <c r="A323" s="58"/>
      <c r="B323" s="58"/>
      <c r="C323" s="58"/>
      <c r="D323" s="58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</row>
    <row r="324" spans="1:18" ht="18" customHeight="1">
      <c r="A324" s="58"/>
      <c r="B324" s="58"/>
      <c r="C324" s="58"/>
      <c r="D324" s="58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</row>
    <row r="325" spans="1:18" ht="18" customHeight="1">
      <c r="A325" s="58"/>
      <c r="B325" s="58"/>
      <c r="C325" s="20"/>
      <c r="D325" s="56"/>
      <c r="E325" s="56"/>
      <c r="F325" s="55"/>
      <c r="G325" s="54"/>
      <c r="H325" s="54"/>
      <c r="I325" s="54"/>
      <c r="J325" s="59"/>
      <c r="K325" s="59"/>
      <c r="L325" s="59"/>
      <c r="M325" s="59"/>
      <c r="N325" s="59"/>
      <c r="O325" s="59"/>
      <c r="P325" s="59"/>
      <c r="Q325" s="59"/>
      <c r="R325" s="59"/>
    </row>
    <row r="326" spans="1:18" ht="18" customHeight="1">
      <c r="A326" s="58"/>
      <c r="B326" s="58"/>
      <c r="C326" s="20" t="s">
        <v>85</v>
      </c>
      <c r="D326" s="56"/>
      <c r="E326" s="56"/>
      <c r="F326" s="57" t="s">
        <v>87</v>
      </c>
      <c r="G326" s="7" t="s">
        <v>88</v>
      </c>
      <c r="H326" s="7" t="s">
        <v>89</v>
      </c>
      <c r="I326" s="7" t="s">
        <v>90</v>
      </c>
      <c r="J326" s="59"/>
      <c r="K326" s="59"/>
      <c r="L326" s="59"/>
      <c r="M326" s="59"/>
      <c r="N326" s="59"/>
      <c r="O326" s="59"/>
      <c r="P326" s="59"/>
      <c r="Q326" s="59"/>
      <c r="R326" s="59"/>
    </row>
    <row r="327" spans="1:18" ht="18" customHeight="1">
      <c r="A327" s="58"/>
      <c r="B327" s="58"/>
      <c r="C327" t="s">
        <v>86</v>
      </c>
      <c r="D327" s="54"/>
      <c r="E327" s="54"/>
      <c r="F327" s="7">
        <v>65.338639999999998</v>
      </c>
      <c r="G327" s="7">
        <v>55.319000000000003</v>
      </c>
      <c r="H327" s="7">
        <v>232.7953</v>
      </c>
      <c r="I327" s="7">
        <v>1646.7225000000001</v>
      </c>
      <c r="J327" s="59"/>
      <c r="K327" s="59"/>
      <c r="L327" s="59"/>
      <c r="M327" s="59"/>
      <c r="N327" s="59"/>
      <c r="O327" s="59"/>
      <c r="P327" s="59"/>
      <c r="Q327" s="59"/>
      <c r="R327" s="59"/>
    </row>
    <row r="328" spans="1:18" ht="18" customHeight="1">
      <c r="A328" s="58"/>
      <c r="B328" s="58"/>
      <c r="C328" s="58"/>
      <c r="D328" s="58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</row>
    <row r="329" spans="1:18" ht="18" customHeight="1">
      <c r="A329" s="16"/>
      <c r="B329" s="16"/>
      <c r="J329" s="20"/>
      <c r="K329" s="19"/>
      <c r="L329" s="19"/>
      <c r="M329" s="19"/>
      <c r="N329" s="19"/>
      <c r="O329" s="19"/>
      <c r="P329" s="19"/>
      <c r="Q329" s="19"/>
      <c r="R329" s="19"/>
    </row>
    <row r="330" spans="1:18" ht="18" customHeight="1">
      <c r="A330" s="16"/>
      <c r="B330" s="16"/>
      <c r="J330" s="20"/>
      <c r="K330" s="19"/>
      <c r="L330" s="19"/>
      <c r="M330" s="19"/>
      <c r="N330" s="19"/>
      <c r="O330" s="19"/>
      <c r="P330" s="19"/>
      <c r="Q330" s="19"/>
      <c r="R330" s="19"/>
    </row>
    <row r="331" spans="1:18" ht="18" customHeight="1">
      <c r="A331" s="16"/>
      <c r="B331" s="16"/>
      <c r="J331" s="20"/>
      <c r="K331" s="19"/>
      <c r="L331" s="19"/>
      <c r="M331" s="19"/>
      <c r="N331" s="19"/>
      <c r="O331" s="19"/>
      <c r="P331" s="19"/>
      <c r="Q331" s="19"/>
      <c r="R331" s="19"/>
    </row>
    <row r="332" spans="1:18">
      <c r="A332" s="16"/>
      <c r="B332" s="16"/>
      <c r="J332" s="20"/>
      <c r="K332" s="19"/>
      <c r="L332" s="19"/>
      <c r="M332" s="19"/>
      <c r="N332" s="19"/>
      <c r="O332" s="19"/>
      <c r="P332" s="19"/>
      <c r="Q332" s="19"/>
      <c r="R332" s="19"/>
    </row>
    <row r="333" spans="1:18">
      <c r="J333" s="54"/>
      <c r="K333" s="54"/>
    </row>
    <row r="334" spans="1:18">
      <c r="J334" s="54"/>
      <c r="K334" s="54"/>
    </row>
    <row r="335" spans="1:18">
      <c r="J335" s="54"/>
      <c r="K335" s="54"/>
    </row>
    <row r="336" spans="1:18">
      <c r="J336" s="54"/>
      <c r="K336" s="54"/>
    </row>
    <row r="337" spans="4:11">
      <c r="D337" s="54"/>
      <c r="E337" s="54"/>
      <c r="F337" s="54"/>
      <c r="G337" s="54"/>
      <c r="H337" s="54"/>
      <c r="I337" s="54"/>
      <c r="J337" s="54"/>
      <c r="K337" s="54"/>
    </row>
    <row r="339" spans="4:11">
      <c r="D339" s="29"/>
      <c r="E339" s="29"/>
    </row>
  </sheetData>
  <mergeCells count="372">
    <mergeCell ref="O208:R208"/>
    <mergeCell ref="C297:C298"/>
    <mergeCell ref="D297:D298"/>
    <mergeCell ref="E297:E298"/>
    <mergeCell ref="A231:R231"/>
    <mergeCell ref="G232:G233"/>
    <mergeCell ref="G177:G178"/>
    <mergeCell ref="H177:H178"/>
    <mergeCell ref="C208:C209"/>
    <mergeCell ref="I208:I209"/>
    <mergeCell ref="B208:B209"/>
    <mergeCell ref="G208:G209"/>
    <mergeCell ref="I297:I298"/>
    <mergeCell ref="O297:R297"/>
    <mergeCell ref="A238:C238"/>
    <mergeCell ref="A239:R239"/>
    <mergeCell ref="A271:C271"/>
    <mergeCell ref="A262:R262"/>
    <mergeCell ref="A263:R263"/>
    <mergeCell ref="A264:A266"/>
    <mergeCell ref="B264:B266"/>
    <mergeCell ref="C264:C266"/>
    <mergeCell ref="D264:D266"/>
    <mergeCell ref="E264:E266"/>
    <mergeCell ref="D201:D202"/>
    <mergeCell ref="E201:E202"/>
    <mergeCell ref="F201:F202"/>
    <mergeCell ref="G201:G202"/>
    <mergeCell ref="H201:H202"/>
    <mergeCell ref="I201:I202"/>
    <mergeCell ref="O201:R201"/>
    <mergeCell ref="A105:R105"/>
    <mergeCell ref="A137:R137"/>
    <mergeCell ref="A167:R167"/>
    <mergeCell ref="O139:R139"/>
    <mergeCell ref="A138:R138"/>
    <mergeCell ref="B139:B140"/>
    <mergeCell ref="A168:R168"/>
    <mergeCell ref="A169:A170"/>
    <mergeCell ref="A147:A148"/>
    <mergeCell ref="B147:B148"/>
    <mergeCell ref="C147:C148"/>
    <mergeCell ref="D147:D148"/>
    <mergeCell ref="E147:E148"/>
    <mergeCell ref="F147:F148"/>
    <mergeCell ref="G147:G148"/>
    <mergeCell ref="O147:R147"/>
    <mergeCell ref="A156:D156"/>
    <mergeCell ref="D169:D170"/>
    <mergeCell ref="E169:E170"/>
    <mergeCell ref="F169:F170"/>
    <mergeCell ref="A155:C155"/>
    <mergeCell ref="A146:R146"/>
    <mergeCell ref="I75:I77"/>
    <mergeCell ref="O75:R75"/>
    <mergeCell ref="A82:C82"/>
    <mergeCell ref="A199:R199"/>
    <mergeCell ref="A176:R176"/>
    <mergeCell ref="O169:R169"/>
    <mergeCell ref="G169:G170"/>
    <mergeCell ref="H169:H170"/>
    <mergeCell ref="I169:I170"/>
    <mergeCell ref="C107:C108"/>
    <mergeCell ref="A106:R106"/>
    <mergeCell ref="A113:C113"/>
    <mergeCell ref="A84:A85"/>
    <mergeCell ref="B84:B85"/>
    <mergeCell ref="C84:C85"/>
    <mergeCell ref="D84:D85"/>
    <mergeCell ref="A102:R102"/>
    <mergeCell ref="A103:R103"/>
    <mergeCell ref="A104:R104"/>
    <mergeCell ref="F305:F306"/>
    <mergeCell ref="G305:G306"/>
    <mergeCell ref="H305:H306"/>
    <mergeCell ref="I305:I306"/>
    <mergeCell ref="C273:C274"/>
    <mergeCell ref="D273:D274"/>
    <mergeCell ref="E273:E274"/>
    <mergeCell ref="F273:F274"/>
    <mergeCell ref="G273:G274"/>
    <mergeCell ref="H273:H274"/>
    <mergeCell ref="I273:I274"/>
    <mergeCell ref="A284:D284"/>
    <mergeCell ref="A303:C303"/>
    <mergeCell ref="A295:R295"/>
    <mergeCell ref="A296:R296"/>
    <mergeCell ref="A297:A298"/>
    <mergeCell ref="B297:B298"/>
    <mergeCell ref="H297:H298"/>
    <mergeCell ref="O273:R273"/>
    <mergeCell ref="F297:F298"/>
    <mergeCell ref="G297:G298"/>
    <mergeCell ref="A292:R292"/>
    <mergeCell ref="A293:R293"/>
    <mergeCell ref="A294:R294"/>
    <mergeCell ref="A315:D315"/>
    <mergeCell ref="A304:R304"/>
    <mergeCell ref="C240:C241"/>
    <mergeCell ref="D240:D241"/>
    <mergeCell ref="E240:E241"/>
    <mergeCell ref="F240:F241"/>
    <mergeCell ref="G240:G241"/>
    <mergeCell ref="H240:H241"/>
    <mergeCell ref="I240:I241"/>
    <mergeCell ref="O240:R240"/>
    <mergeCell ref="A250:C250"/>
    <mergeCell ref="A240:A241"/>
    <mergeCell ref="B240:B241"/>
    <mergeCell ref="A283:C283"/>
    <mergeCell ref="A314:C314"/>
    <mergeCell ref="A272:R272"/>
    <mergeCell ref="A273:A274"/>
    <mergeCell ref="B273:B274"/>
    <mergeCell ref="O305:R305"/>
    <mergeCell ref="A305:A306"/>
    <mergeCell ref="B305:B306"/>
    <mergeCell ref="C305:C306"/>
    <mergeCell ref="D305:D306"/>
    <mergeCell ref="E305:E306"/>
    <mergeCell ref="A1:C1"/>
    <mergeCell ref="A2:C2"/>
    <mergeCell ref="A4:C4"/>
    <mergeCell ref="A5:C5"/>
    <mergeCell ref="D5:F5"/>
    <mergeCell ref="D2:I2"/>
    <mergeCell ref="D1:R1"/>
    <mergeCell ref="K2:R2"/>
    <mergeCell ref="A29:C29"/>
    <mergeCell ref="A18:C18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20:R20"/>
    <mergeCell ref="A10:R10"/>
    <mergeCell ref="O11:R11"/>
    <mergeCell ref="A11:A12"/>
    <mergeCell ref="B11:B12"/>
    <mergeCell ref="A8:R8"/>
    <mergeCell ref="O115:R115"/>
    <mergeCell ref="O107:R107"/>
    <mergeCell ref="E107:E108"/>
    <mergeCell ref="H84:H85"/>
    <mergeCell ref="I84:I85"/>
    <mergeCell ref="F107:F108"/>
    <mergeCell ref="G107:G108"/>
    <mergeCell ref="D107:D108"/>
    <mergeCell ref="E11:E12"/>
    <mergeCell ref="D20:D21"/>
    <mergeCell ref="E20:E21"/>
    <mergeCell ref="F20:F21"/>
    <mergeCell ref="G20:G21"/>
    <mergeCell ref="A19:R19"/>
    <mergeCell ref="B20:B21"/>
    <mergeCell ref="C20:C21"/>
    <mergeCell ref="E84:E85"/>
    <mergeCell ref="F84:F85"/>
    <mergeCell ref="O84:R84"/>
    <mergeCell ref="A20:A21"/>
    <mergeCell ref="H20:H21"/>
    <mergeCell ref="I20:I21"/>
    <mergeCell ref="C11:C12"/>
    <mergeCell ref="D11:D12"/>
    <mergeCell ref="A41:R41"/>
    <mergeCell ref="A42:R42"/>
    <mergeCell ref="A126:D126"/>
    <mergeCell ref="A43:A44"/>
    <mergeCell ref="B43:B44"/>
    <mergeCell ref="A61:C61"/>
    <mergeCell ref="H43:H44"/>
    <mergeCell ref="O43:R43"/>
    <mergeCell ref="A83:R83"/>
    <mergeCell ref="A73:R73"/>
    <mergeCell ref="A74:R74"/>
    <mergeCell ref="A75:A77"/>
    <mergeCell ref="B75:B77"/>
    <mergeCell ref="C75:C77"/>
    <mergeCell ref="D75:D77"/>
    <mergeCell ref="E75:E77"/>
    <mergeCell ref="F75:F77"/>
    <mergeCell ref="G75:G77"/>
    <mergeCell ref="H75:H77"/>
    <mergeCell ref="A93:C93"/>
    <mergeCell ref="G84:G85"/>
    <mergeCell ref="A94:D94"/>
    <mergeCell ref="C115:C116"/>
    <mergeCell ref="A30:D30"/>
    <mergeCell ref="A49:C49"/>
    <mergeCell ref="I43:I44"/>
    <mergeCell ref="A50:R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O51:R51"/>
    <mergeCell ref="C43:C44"/>
    <mergeCell ref="D43:D44"/>
    <mergeCell ref="E43:E44"/>
    <mergeCell ref="F43:F44"/>
    <mergeCell ref="G43:G44"/>
    <mergeCell ref="A34:C34"/>
    <mergeCell ref="A35:C35"/>
    <mergeCell ref="A36:C36"/>
    <mergeCell ref="A37:C37"/>
    <mergeCell ref="M34:R34"/>
    <mergeCell ref="M35:R35"/>
    <mergeCell ref="M36:R36"/>
    <mergeCell ref="M37:R37"/>
    <mergeCell ref="A145:C145"/>
    <mergeCell ref="A62:D62"/>
    <mergeCell ref="A125:C125"/>
    <mergeCell ref="D115:D116"/>
    <mergeCell ref="B115:B116"/>
    <mergeCell ref="G115:G116"/>
    <mergeCell ref="H115:H116"/>
    <mergeCell ref="I115:I116"/>
    <mergeCell ref="E115:E116"/>
    <mergeCell ref="F115:F116"/>
    <mergeCell ref="A114:R114"/>
    <mergeCell ref="I107:I108"/>
    <mergeCell ref="H107:H108"/>
    <mergeCell ref="A115:A116"/>
    <mergeCell ref="A107:A108"/>
    <mergeCell ref="B107:B108"/>
    <mergeCell ref="A38:R38"/>
    <mergeCell ref="A39:R39"/>
    <mergeCell ref="A40:R40"/>
    <mergeCell ref="A66:C66"/>
    <mergeCell ref="A67:C67"/>
    <mergeCell ref="A68:C68"/>
    <mergeCell ref="A69:C69"/>
    <mergeCell ref="M66:R66"/>
    <mergeCell ref="M67:R67"/>
    <mergeCell ref="M68:R68"/>
    <mergeCell ref="M69:R69"/>
    <mergeCell ref="A70:R70"/>
    <mergeCell ref="A71:R71"/>
    <mergeCell ref="A72:R72"/>
    <mergeCell ref="A98:C98"/>
    <mergeCell ref="A99:C99"/>
    <mergeCell ref="A100:C100"/>
    <mergeCell ref="A101:C101"/>
    <mergeCell ref="M98:R98"/>
    <mergeCell ref="M99:R99"/>
    <mergeCell ref="M100:R100"/>
    <mergeCell ref="M101:R101"/>
    <mergeCell ref="A130:C130"/>
    <mergeCell ref="A131:C131"/>
    <mergeCell ref="A132:C132"/>
    <mergeCell ref="A133:C133"/>
    <mergeCell ref="M130:R130"/>
    <mergeCell ref="M131:R131"/>
    <mergeCell ref="M132:R132"/>
    <mergeCell ref="M133:R133"/>
    <mergeCell ref="A134:R134"/>
    <mergeCell ref="A135:R135"/>
    <mergeCell ref="A136:R136"/>
    <mergeCell ref="A160:C160"/>
    <mergeCell ref="A161:C161"/>
    <mergeCell ref="A162:C162"/>
    <mergeCell ref="A163:C163"/>
    <mergeCell ref="M160:R160"/>
    <mergeCell ref="M161:R161"/>
    <mergeCell ref="M162:R162"/>
    <mergeCell ref="M163:R163"/>
    <mergeCell ref="I139:I140"/>
    <mergeCell ref="H147:H148"/>
    <mergeCell ref="I147:I148"/>
    <mergeCell ref="E139:E140"/>
    <mergeCell ref="F139:F140"/>
    <mergeCell ref="G139:G140"/>
    <mergeCell ref="H139:H140"/>
    <mergeCell ref="C139:C140"/>
    <mergeCell ref="D139:D140"/>
    <mergeCell ref="A139:A140"/>
    <mergeCell ref="A164:R164"/>
    <mergeCell ref="A165:R165"/>
    <mergeCell ref="A166:R166"/>
    <mergeCell ref="A192:C192"/>
    <mergeCell ref="A193:C193"/>
    <mergeCell ref="A194:C194"/>
    <mergeCell ref="A195:C195"/>
    <mergeCell ref="M192:R192"/>
    <mergeCell ref="M193:R193"/>
    <mergeCell ref="M194:R194"/>
    <mergeCell ref="M195:R195"/>
    <mergeCell ref="A175:C175"/>
    <mergeCell ref="B169:B170"/>
    <mergeCell ref="I177:I178"/>
    <mergeCell ref="O177:R177"/>
    <mergeCell ref="B177:B178"/>
    <mergeCell ref="A188:D188"/>
    <mergeCell ref="A187:C187"/>
    <mergeCell ref="F177:F178"/>
    <mergeCell ref="C177:C178"/>
    <mergeCell ref="D177:D178"/>
    <mergeCell ref="E177:E178"/>
    <mergeCell ref="A177:A178"/>
    <mergeCell ref="C169:C170"/>
    <mergeCell ref="A196:R196"/>
    <mergeCell ref="A197:R197"/>
    <mergeCell ref="A198:R198"/>
    <mergeCell ref="A223:C223"/>
    <mergeCell ref="A224:C224"/>
    <mergeCell ref="A225:C225"/>
    <mergeCell ref="A226:C226"/>
    <mergeCell ref="M223:R223"/>
    <mergeCell ref="M224:R224"/>
    <mergeCell ref="M225:R225"/>
    <mergeCell ref="M226:R226"/>
    <mergeCell ref="H208:H209"/>
    <mergeCell ref="A206:C206"/>
    <mergeCell ref="A207:R207"/>
    <mergeCell ref="F208:F209"/>
    <mergeCell ref="A208:A209"/>
    <mergeCell ref="A219:D219"/>
    <mergeCell ref="D208:D209"/>
    <mergeCell ref="E208:E209"/>
    <mergeCell ref="A218:C218"/>
    <mergeCell ref="A200:R200"/>
    <mergeCell ref="A201:A202"/>
    <mergeCell ref="B201:B202"/>
    <mergeCell ref="C201:C202"/>
    <mergeCell ref="A227:R227"/>
    <mergeCell ref="A228:R228"/>
    <mergeCell ref="A229:R229"/>
    <mergeCell ref="A255:C255"/>
    <mergeCell ref="A256:C256"/>
    <mergeCell ref="A257:C257"/>
    <mergeCell ref="A258:C258"/>
    <mergeCell ref="M255:R255"/>
    <mergeCell ref="M256:R256"/>
    <mergeCell ref="M257:R257"/>
    <mergeCell ref="M258:R258"/>
    <mergeCell ref="F232:F233"/>
    <mergeCell ref="A230:R230"/>
    <mergeCell ref="I232:I233"/>
    <mergeCell ref="O232:R232"/>
    <mergeCell ref="C232:C233"/>
    <mergeCell ref="D232:D233"/>
    <mergeCell ref="E232:E233"/>
    <mergeCell ref="H232:H233"/>
    <mergeCell ref="A232:A233"/>
    <mergeCell ref="B232:B233"/>
    <mergeCell ref="A251:D251"/>
    <mergeCell ref="A259:R259"/>
    <mergeCell ref="A260:R260"/>
    <mergeCell ref="A261:R261"/>
    <mergeCell ref="A288:C288"/>
    <mergeCell ref="A289:C289"/>
    <mergeCell ref="A290:C290"/>
    <mergeCell ref="A291:C291"/>
    <mergeCell ref="M288:R288"/>
    <mergeCell ref="M289:R289"/>
    <mergeCell ref="M290:R290"/>
    <mergeCell ref="M291:R291"/>
    <mergeCell ref="F264:F266"/>
    <mergeCell ref="G264:G266"/>
    <mergeCell ref="H264:H266"/>
    <mergeCell ref="I264:I266"/>
    <mergeCell ref="O264:R264"/>
  </mergeCells>
  <pageMargins left="0.25" right="0.25" top="0.75" bottom="0.75" header="0.3" footer="0.3"/>
  <pageSetup paperSize="9" scale="78" orientation="landscape" verticalDpi="4294967293" r:id="rId1"/>
  <rowBreaks count="10" manualBreakCount="10">
    <brk id="33" min="2" max="17" man="1"/>
    <brk id="65" min="2" max="17" man="1"/>
    <brk id="97" max="16383" man="1"/>
    <brk id="129" max="16383" man="1"/>
    <brk id="159" max="16383" man="1"/>
    <brk id="191" min="2" max="17" man="1"/>
    <brk id="222" min="2" max="17" man="1"/>
    <brk id="254" min="2" max="17" man="1"/>
    <brk id="287" min="2" max="17" man="1"/>
    <brk id="323" min="2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tikho</cp:lastModifiedBy>
  <cp:lastPrinted>2024-04-23T16:29:46Z</cp:lastPrinted>
  <dcterms:created xsi:type="dcterms:W3CDTF">2020-08-17T17:24:41Z</dcterms:created>
  <dcterms:modified xsi:type="dcterms:W3CDTF">2024-09-24T10:38:26Z</dcterms:modified>
</cp:coreProperties>
</file>