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E8DB91-B2DC-490A-B49B-9C3005A2453D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Лист1!$A$1:$R$292</definedName>
  </definedNames>
  <calcPr calcId="191029"/>
</workbook>
</file>

<file path=xl/calcChain.xml><?xml version="1.0" encoding="utf-8"?>
<calcChain xmlns="http://schemas.openxmlformats.org/spreadsheetml/2006/main">
  <c r="E18" i="1" l="1"/>
  <c r="R16" i="1" l="1"/>
  <c r="Q16" i="1"/>
  <c r="P16" i="1"/>
  <c r="R130" i="1" l="1"/>
  <c r="Q130" i="1"/>
  <c r="P130" i="1"/>
  <c r="N130" i="1"/>
  <c r="M130" i="1"/>
  <c r="K130" i="1"/>
  <c r="I130" i="1"/>
  <c r="H130" i="1"/>
  <c r="G130" i="1"/>
  <c r="F130" i="1"/>
  <c r="R78" i="1"/>
  <c r="Q78" i="1"/>
  <c r="P78" i="1"/>
  <c r="N78" i="1"/>
  <c r="M78" i="1"/>
  <c r="K78" i="1"/>
  <c r="I78" i="1"/>
  <c r="H78" i="1"/>
  <c r="G78" i="1"/>
  <c r="F78" i="1"/>
  <c r="Q207" i="1" l="1"/>
  <c r="P207" i="1"/>
  <c r="N207" i="1"/>
  <c r="M207" i="1"/>
  <c r="L207" i="1"/>
  <c r="K207" i="1"/>
  <c r="I207" i="1"/>
  <c r="H207" i="1"/>
  <c r="G207" i="1"/>
  <c r="F207" i="1"/>
  <c r="Q187" i="1" l="1"/>
  <c r="P187" i="1"/>
  <c r="N187" i="1"/>
  <c r="M187" i="1"/>
  <c r="L187" i="1"/>
  <c r="K187" i="1"/>
  <c r="I187" i="1"/>
  <c r="H187" i="1"/>
  <c r="G187" i="1"/>
  <c r="F187" i="1"/>
  <c r="N186" i="1"/>
  <c r="M186" i="1"/>
  <c r="L186" i="1"/>
  <c r="K186" i="1"/>
  <c r="I186" i="1"/>
  <c r="H186" i="1"/>
  <c r="G186" i="1"/>
  <c r="F186" i="1"/>
  <c r="R185" i="1" l="1"/>
  <c r="P185" i="1"/>
  <c r="N185" i="1"/>
  <c r="M185" i="1"/>
  <c r="L185" i="1"/>
  <c r="K185" i="1"/>
  <c r="I185" i="1"/>
  <c r="H185" i="1"/>
  <c r="G185" i="1"/>
  <c r="F185" i="1"/>
  <c r="R105" i="1" l="1"/>
  <c r="Q105" i="1"/>
  <c r="P105" i="1"/>
  <c r="O105" i="1"/>
  <c r="N105" i="1"/>
  <c r="M105" i="1"/>
  <c r="L105" i="1"/>
  <c r="K105" i="1"/>
  <c r="I105" i="1"/>
  <c r="H105" i="1"/>
  <c r="G105" i="1"/>
  <c r="F105" i="1"/>
  <c r="Q51" i="1" l="1"/>
  <c r="P51" i="1"/>
  <c r="N51" i="1"/>
  <c r="M51" i="1"/>
  <c r="L51" i="1"/>
  <c r="K51" i="1"/>
  <c r="I51" i="1"/>
  <c r="H51" i="1"/>
  <c r="G51" i="1"/>
  <c r="F51" i="1"/>
  <c r="Q25" i="1" l="1"/>
  <c r="P25" i="1"/>
  <c r="N25" i="1"/>
  <c r="M25" i="1"/>
  <c r="L25" i="1"/>
  <c r="K25" i="1"/>
  <c r="I25" i="1"/>
  <c r="H25" i="1"/>
  <c r="G25" i="1"/>
  <c r="F25" i="1"/>
  <c r="R23" i="1" l="1"/>
  <c r="Q23" i="1"/>
  <c r="P23" i="1"/>
  <c r="O23" i="1"/>
  <c r="N23" i="1"/>
  <c r="M23" i="1"/>
  <c r="L23" i="1"/>
  <c r="K23" i="1"/>
  <c r="I23" i="1"/>
  <c r="H23" i="1"/>
  <c r="G23" i="1"/>
  <c r="F23" i="1"/>
  <c r="E210" i="1" l="1"/>
  <c r="E44" i="1" l="1"/>
  <c r="E238" i="1"/>
  <c r="E30" i="1" l="1"/>
  <c r="J30" i="1"/>
  <c r="O279" i="1" l="1"/>
  <c r="M279" i="1"/>
  <c r="R272" i="1"/>
  <c r="R279" i="1" s="1"/>
  <c r="N272" i="1"/>
  <c r="L272" i="1"/>
  <c r="K272" i="1"/>
  <c r="I272" i="1"/>
  <c r="I279" i="1" s="1"/>
  <c r="H272" i="1"/>
  <c r="G272" i="1"/>
  <c r="F272" i="1"/>
  <c r="E279" i="1"/>
  <c r="J279" i="1"/>
  <c r="P279" i="1"/>
  <c r="Q279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E192" i="1"/>
  <c r="J192" i="1"/>
  <c r="Q192" i="1"/>
  <c r="R176" i="1"/>
  <c r="P176" i="1"/>
  <c r="O176" i="1"/>
  <c r="N176" i="1"/>
  <c r="M176" i="1"/>
  <c r="L176" i="1"/>
  <c r="K176" i="1"/>
  <c r="I176" i="1"/>
  <c r="H176" i="1"/>
  <c r="G176" i="1"/>
  <c r="F176" i="1"/>
  <c r="J164" i="1"/>
  <c r="O164" i="1"/>
  <c r="Q164" i="1"/>
  <c r="M164" i="1"/>
  <c r="L164" i="1"/>
  <c r="E164" i="1"/>
  <c r="P133" i="1"/>
  <c r="P136" i="1" s="1"/>
  <c r="N133" i="1"/>
  <c r="N136" i="1" s="1"/>
  <c r="M133" i="1"/>
  <c r="M136" i="1" s="1"/>
  <c r="L133" i="1"/>
  <c r="L136" i="1" s="1"/>
  <c r="K133" i="1"/>
  <c r="K136" i="1" s="1"/>
  <c r="I133" i="1"/>
  <c r="I136" i="1" s="1"/>
  <c r="H132" i="1"/>
  <c r="H136" i="1" s="1"/>
  <c r="G132" i="1"/>
  <c r="G136" i="1" s="1"/>
  <c r="F132" i="1"/>
  <c r="F136" i="1" s="1"/>
  <c r="E136" i="1"/>
  <c r="J136" i="1"/>
  <c r="O136" i="1"/>
  <c r="Q136" i="1"/>
  <c r="R136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E125" i="1"/>
  <c r="K279" i="1" l="1"/>
  <c r="G279" i="1"/>
  <c r="H279" i="1"/>
  <c r="F164" i="1"/>
  <c r="N279" i="1"/>
  <c r="I164" i="1"/>
  <c r="O192" i="1"/>
  <c r="N164" i="1"/>
  <c r="F192" i="1"/>
  <c r="L192" i="1"/>
  <c r="M192" i="1"/>
  <c r="K164" i="1"/>
  <c r="K192" i="1"/>
  <c r="R164" i="1"/>
  <c r="I192" i="1"/>
  <c r="H164" i="1"/>
  <c r="H192" i="1"/>
  <c r="R192" i="1"/>
  <c r="G164" i="1"/>
  <c r="G192" i="1"/>
  <c r="P192" i="1"/>
  <c r="P164" i="1"/>
  <c r="N192" i="1"/>
  <c r="F279" i="1"/>
  <c r="L279" i="1"/>
  <c r="R110" i="1"/>
  <c r="Q110" i="1"/>
  <c r="P110" i="1"/>
  <c r="O110" i="1"/>
  <c r="N110" i="1"/>
  <c r="M110" i="1"/>
  <c r="L110" i="1"/>
  <c r="K110" i="1"/>
  <c r="I110" i="1"/>
  <c r="H110" i="1"/>
  <c r="G110" i="1"/>
  <c r="F110" i="1"/>
  <c r="E110" i="1"/>
  <c r="J110" i="1"/>
  <c r="E83" i="1"/>
  <c r="J83" i="1"/>
  <c r="O83" i="1"/>
  <c r="R8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E73" i="1"/>
  <c r="E56" i="1"/>
  <c r="F284" i="1" s="1"/>
  <c r="F285" i="1" s="1"/>
  <c r="J56" i="1"/>
  <c r="R94" i="1" l="1"/>
  <c r="O94" i="1"/>
  <c r="N94" i="1"/>
  <c r="M94" i="1"/>
  <c r="L94" i="1"/>
  <c r="K94" i="1"/>
  <c r="I94" i="1"/>
  <c r="H94" i="1"/>
  <c r="G94" i="1"/>
  <c r="F94" i="1"/>
  <c r="Q83" i="1"/>
  <c r="P83" i="1"/>
  <c r="N83" i="1"/>
  <c r="M83" i="1"/>
  <c r="L83" i="1"/>
  <c r="K83" i="1"/>
  <c r="H83" i="1"/>
  <c r="R56" i="1"/>
  <c r="Q56" i="1"/>
  <c r="P56" i="1"/>
  <c r="O56" i="1"/>
  <c r="N56" i="1"/>
  <c r="M56" i="1"/>
  <c r="L56" i="1"/>
  <c r="K56" i="1"/>
  <c r="I56" i="1"/>
  <c r="H56" i="1"/>
  <c r="G56" i="1"/>
  <c r="F56" i="1"/>
  <c r="G83" i="1" l="1"/>
  <c r="I83" i="1"/>
  <c r="F83" i="1"/>
  <c r="R39" i="1"/>
  <c r="P39" i="1"/>
  <c r="O39" i="1"/>
  <c r="N39" i="1"/>
  <c r="M39" i="1"/>
  <c r="L39" i="1"/>
  <c r="K39" i="1"/>
  <c r="I39" i="1"/>
  <c r="H39" i="1"/>
  <c r="G39" i="1"/>
  <c r="F39" i="1"/>
  <c r="P28" i="1"/>
  <c r="N28" i="1"/>
  <c r="M28" i="1"/>
  <c r="L28" i="1"/>
  <c r="K28" i="1"/>
  <c r="I28" i="1"/>
  <c r="H28" i="1"/>
  <c r="G28" i="1"/>
  <c r="F28" i="1"/>
  <c r="P27" i="1"/>
  <c r="N27" i="1"/>
  <c r="M27" i="1"/>
  <c r="L27" i="1"/>
  <c r="K27" i="1"/>
  <c r="I27" i="1"/>
  <c r="H27" i="1"/>
  <c r="G27" i="1"/>
  <c r="F27" i="1"/>
  <c r="O30" i="1"/>
  <c r="L30" i="1" l="1"/>
  <c r="R30" i="1"/>
  <c r="Q30" i="1"/>
  <c r="P30" i="1"/>
  <c r="N30" i="1"/>
  <c r="M30" i="1"/>
  <c r="K30" i="1"/>
  <c r="I30" i="1"/>
  <c r="H30" i="1"/>
  <c r="G30" i="1"/>
  <c r="F30" i="1"/>
  <c r="R13" i="1"/>
  <c r="Q13" i="1"/>
  <c r="P13" i="1"/>
  <c r="O13" i="1"/>
  <c r="N13" i="1"/>
  <c r="M13" i="1"/>
  <c r="L13" i="1"/>
  <c r="K13" i="1"/>
  <c r="I13" i="1"/>
  <c r="H13" i="1"/>
  <c r="G13" i="1"/>
  <c r="F13" i="1"/>
  <c r="F210" i="1" l="1"/>
  <c r="G210" i="1"/>
  <c r="H210" i="1"/>
  <c r="I210" i="1"/>
  <c r="J210" i="1"/>
  <c r="K210" i="1"/>
  <c r="L210" i="1"/>
  <c r="M210" i="1"/>
  <c r="N210" i="1"/>
  <c r="O210" i="1"/>
  <c r="P210" i="1"/>
  <c r="Q210" i="1"/>
  <c r="R210" i="1"/>
  <c r="F180" i="1" l="1"/>
  <c r="G180" i="1"/>
  <c r="H180" i="1"/>
  <c r="I180" i="1"/>
  <c r="J180" i="1"/>
  <c r="K180" i="1"/>
  <c r="L180" i="1"/>
  <c r="M180" i="1"/>
  <c r="N180" i="1"/>
  <c r="O180" i="1"/>
  <c r="P180" i="1"/>
  <c r="Q180" i="1"/>
  <c r="R180" i="1"/>
  <c r="E180" i="1"/>
  <c r="J84" i="1" l="1"/>
  <c r="R44" i="1"/>
  <c r="Q44" i="1"/>
  <c r="P44" i="1"/>
  <c r="O44" i="1"/>
  <c r="J193" i="1"/>
  <c r="J251" i="1"/>
  <c r="J280" i="1"/>
  <c r="R238" i="1"/>
  <c r="Q238" i="1"/>
  <c r="P238" i="1"/>
  <c r="O238" i="1"/>
  <c r="N238" i="1"/>
  <c r="M238" i="1"/>
  <c r="L238" i="1"/>
  <c r="K238" i="1"/>
  <c r="I238" i="1"/>
  <c r="H238" i="1"/>
  <c r="G238" i="1"/>
  <c r="F238" i="1"/>
  <c r="R267" i="1"/>
  <c r="Q267" i="1"/>
  <c r="P267" i="1"/>
  <c r="O267" i="1"/>
  <c r="N267" i="1"/>
  <c r="M267" i="1"/>
  <c r="L267" i="1"/>
  <c r="K267" i="1"/>
  <c r="I267" i="1"/>
  <c r="H267" i="1"/>
  <c r="G267" i="1"/>
  <c r="F267" i="1"/>
  <c r="E267" i="1"/>
  <c r="D180" i="1"/>
  <c r="O84" i="1"/>
  <c r="R280" i="1" l="1"/>
  <c r="Q280" i="1"/>
  <c r="P280" i="1"/>
  <c r="O280" i="1"/>
  <c r="N280" i="1"/>
  <c r="M280" i="1"/>
  <c r="L280" i="1"/>
  <c r="K280" i="1"/>
  <c r="R251" i="1" l="1"/>
  <c r="P251" i="1"/>
  <c r="Q251" i="1"/>
  <c r="O251" i="1"/>
  <c r="N251" i="1"/>
  <c r="M251" i="1"/>
  <c r="L251" i="1"/>
  <c r="K251" i="1"/>
  <c r="R193" i="1" l="1"/>
  <c r="Q193" i="1"/>
  <c r="P193" i="1"/>
  <c r="O193" i="1"/>
  <c r="N193" i="1"/>
  <c r="M193" i="1"/>
  <c r="L193" i="1"/>
  <c r="K193" i="1"/>
  <c r="E84" i="1" l="1"/>
  <c r="Q223" i="1" l="1"/>
  <c r="P223" i="1"/>
  <c r="M223" i="1"/>
  <c r="L223" i="1"/>
  <c r="K223" i="1"/>
  <c r="R223" i="1"/>
  <c r="O223" i="1"/>
  <c r="R152" i="1"/>
  <c r="Q152" i="1"/>
  <c r="P152" i="1"/>
  <c r="O152" i="1"/>
  <c r="N152" i="1"/>
  <c r="N165" i="1" s="1"/>
  <c r="M152" i="1"/>
  <c r="L152" i="1"/>
  <c r="K152" i="1"/>
  <c r="K165" i="1" s="1"/>
  <c r="Q137" i="1"/>
  <c r="R98" i="1"/>
  <c r="Q98" i="1"/>
  <c r="P98" i="1"/>
  <c r="O98" i="1"/>
  <c r="N98" i="1"/>
  <c r="M98" i="1"/>
  <c r="L98" i="1"/>
  <c r="K98" i="1"/>
  <c r="R84" i="1"/>
  <c r="Q84" i="1"/>
  <c r="P84" i="1"/>
  <c r="N84" i="1"/>
  <c r="M84" i="1"/>
  <c r="L84" i="1"/>
  <c r="K84" i="1"/>
  <c r="R18" i="1"/>
  <c r="Q18" i="1"/>
  <c r="P18" i="1"/>
  <c r="O18" i="1"/>
  <c r="O31" i="1" s="1"/>
  <c r="N18" i="1"/>
  <c r="N31" i="1" s="1"/>
  <c r="M18" i="1"/>
  <c r="M31" i="1" s="1"/>
  <c r="L18" i="1"/>
  <c r="K18" i="1"/>
  <c r="K31" i="1" s="1"/>
  <c r="Q165" i="1" l="1"/>
  <c r="O165" i="1"/>
  <c r="P137" i="1"/>
  <c r="R111" i="1"/>
  <c r="L165" i="1"/>
  <c r="R137" i="1"/>
  <c r="M165" i="1"/>
  <c r="R165" i="1"/>
  <c r="O137" i="1"/>
  <c r="N137" i="1"/>
  <c r="M137" i="1"/>
  <c r="L137" i="1"/>
  <c r="Q111" i="1"/>
  <c r="P111" i="1"/>
  <c r="N111" i="1"/>
  <c r="L111" i="1"/>
  <c r="K111" i="1"/>
  <c r="M111" i="1"/>
  <c r="O111" i="1"/>
  <c r="L31" i="1"/>
  <c r="P165" i="1"/>
  <c r="P31" i="1"/>
  <c r="K137" i="1"/>
  <c r="R31" i="1"/>
  <c r="N223" i="1"/>
  <c r="Q31" i="1"/>
  <c r="K57" i="1"/>
  <c r="M57" i="1"/>
  <c r="O57" i="1"/>
  <c r="Q57" i="1"/>
  <c r="L57" i="1"/>
  <c r="N57" i="1"/>
  <c r="P57" i="1"/>
  <c r="R57" i="1"/>
  <c r="I280" i="1"/>
  <c r="H280" i="1"/>
  <c r="G280" i="1"/>
  <c r="F280" i="1"/>
  <c r="E280" i="1"/>
  <c r="I251" i="1" l="1"/>
  <c r="H251" i="1"/>
  <c r="G251" i="1"/>
  <c r="F251" i="1"/>
  <c r="E251" i="1"/>
  <c r="I223" i="1" l="1"/>
  <c r="H223" i="1"/>
  <c r="G223" i="1"/>
  <c r="F223" i="1"/>
  <c r="E223" i="1"/>
  <c r="I193" i="1" l="1"/>
  <c r="H193" i="1"/>
  <c r="G193" i="1"/>
  <c r="F193" i="1"/>
  <c r="E193" i="1"/>
  <c r="I152" i="1" l="1"/>
  <c r="I165" i="1" s="1"/>
  <c r="H152" i="1"/>
  <c r="H165" i="1" s="1"/>
  <c r="G152" i="1"/>
  <c r="G165" i="1" s="1"/>
  <c r="F152" i="1"/>
  <c r="F165" i="1" s="1"/>
  <c r="E152" i="1"/>
  <c r="E165" i="1" l="1"/>
  <c r="I137" i="1" l="1"/>
  <c r="H137" i="1"/>
  <c r="G137" i="1"/>
  <c r="F137" i="1"/>
  <c r="E137" i="1"/>
  <c r="I98" i="1" l="1"/>
  <c r="I111" i="1" s="1"/>
  <c r="H98" i="1"/>
  <c r="H111" i="1" s="1"/>
  <c r="G98" i="1"/>
  <c r="G111" i="1" s="1"/>
  <c r="F98" i="1"/>
  <c r="F111" i="1" s="1"/>
  <c r="E98" i="1"/>
  <c r="E282" i="1" l="1"/>
  <c r="E283" i="1" s="1"/>
  <c r="E111" i="1"/>
  <c r="I84" i="1"/>
  <c r="H84" i="1"/>
  <c r="G84" i="1"/>
  <c r="F84" i="1"/>
  <c r="I18" i="1" l="1"/>
  <c r="I31" i="1" s="1"/>
  <c r="H18" i="1"/>
  <c r="G18" i="1"/>
  <c r="F18" i="1"/>
  <c r="I57" i="1" l="1"/>
  <c r="H57" i="1"/>
  <c r="G57" i="1"/>
  <c r="E57" i="1"/>
  <c r="F57" i="1"/>
  <c r="H31" i="1" l="1"/>
  <c r="G31" i="1"/>
  <c r="F31" i="1"/>
  <c r="E31" i="1" l="1"/>
</calcChain>
</file>

<file path=xl/sharedStrings.xml><?xml version="1.0" encoding="utf-8"?>
<sst xmlns="http://schemas.openxmlformats.org/spreadsheetml/2006/main" count="715" uniqueCount="134">
  <si>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</si>
  <si>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</si>
  <si>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</si>
  <si>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</si>
  <si>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</si>
  <si>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</si>
  <si>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</si>
  <si>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</si>
  <si>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</si>
  <si>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</si>
  <si>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</si>
  <si>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</si>
  <si>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</si>
  <si>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</si>
  <si>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</si>
  <si>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</si>
  <si>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</si>
  <si>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</si>
  <si>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</si>
  <si>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</si>
  <si>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</si>
  <si>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>Компот из кураги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</si>
  <si>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</si>
  <si>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</si>
  <si>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</si>
  <si>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</si>
  <si>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Чай с сахаром с лимоном</t>
  </si>
  <si>
    <t>Печенье</t>
  </si>
  <si>
    <t xml:space="preserve">                                    Директор      ООО "Общепит-Н"  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</si>
  <si>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</si>
  <si>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</si>
  <si>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</si>
  <si>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</si>
  <si>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</si>
  <si>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</si>
  <si>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</si>
  <si>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</si>
  <si>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</si>
  <si>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</si>
  <si>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</si>
  <si>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</si>
  <si>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</si>
  <si>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</si>
  <si>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</si>
  <si>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</si>
  <si>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</si>
  <si>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</si>
  <si>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</si>
  <si>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</si>
  <si>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</si>
  <si>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</si>
  <si>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t xml:space="preserve"> Суп картофельный с  рисовой крупой</t>
  </si>
  <si>
    <t>Тефтели из говядины с  соусом</t>
  </si>
  <si>
    <t>Сырники из творога с  молоком сгущенным</t>
  </si>
  <si>
    <t>Директор   школы    МОУ СОШ №</t>
  </si>
  <si>
    <t xml:space="preserve">Компот из сухофруктов </t>
  </si>
  <si>
    <t>Суп картофельный с макаронными изделиями ( вермишель )</t>
  </si>
  <si>
    <t xml:space="preserve">Рагу из овощей </t>
  </si>
  <si>
    <t>Котлеты рыбные с маслом сливочным</t>
  </si>
  <si>
    <t xml:space="preserve"> Каша гречневая рассыпчатая</t>
  </si>
  <si>
    <t>Напиток апельсиновый</t>
  </si>
  <si>
    <t xml:space="preserve">Оладьи из говяжьей печени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</si>
  <si>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</si>
  <si>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                                                                                                                                             "Утверждаю"</t>
  </si>
  <si>
    <t>Рис отварной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</si>
  <si>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</si>
  <si>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</si>
  <si>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</si>
  <si>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</si>
  <si>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</si>
  <si>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</si>
  <si>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</si>
  <si>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Компот из чернослив</t>
  </si>
  <si>
    <t>Картофель и овощи, тушенные в соусе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</si>
  <si>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</si>
  <si>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</si>
  <si>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</si>
  <si>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</si>
  <si>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</si>
  <si>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</si>
  <si>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</si>
  <si>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Хлеб пшеничный</t>
  </si>
  <si>
    <t>Выход, г</t>
  </si>
  <si>
    <t xml:space="preserve">Компот из смеси сухофруктов </t>
  </si>
  <si>
    <t>День 3</t>
  </si>
  <si>
    <t>Котлеты рубленные из кур, запеченные с соусом сметанным</t>
  </si>
  <si>
    <t>яйцо вареное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</si>
  <si>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</si>
  <si>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</si>
  <si>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</si>
  <si>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</si>
  <si>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</si>
  <si>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</si>
  <si>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</si>
  <si>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 xml:space="preserve">Пряники </t>
  </si>
  <si>
    <t>Хлеб ржаной</t>
  </si>
  <si>
    <t>90/30</t>
  </si>
  <si>
    <t xml:space="preserve">                      "___"____________  2023г</t>
  </si>
  <si>
    <t>Кисель плодово-ягодный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</si>
  <si>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</si>
  <si>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</si>
  <si>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</si>
  <si>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</si>
  <si>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</si>
  <si>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</si>
  <si>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</si>
  <si>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</si>
  <si>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</si>
  <si>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гороховая отварная с маслом</t>
  </si>
  <si>
    <t xml:space="preserve"> Каша  жидкая молочная из манной крупы с маслом сливочным</t>
  </si>
  <si>
    <t>100/5</t>
  </si>
  <si>
    <t>Каша вязкая молочная  геркулесовая с маслом сливочным</t>
  </si>
  <si>
    <t>250/35</t>
  </si>
  <si>
    <t>Рагу из курицы</t>
  </si>
  <si>
    <t>100/180</t>
  </si>
  <si>
    <t>150/30</t>
  </si>
  <si>
    <t>Борщ из свежей капусты с картофелем  со сметаной .</t>
  </si>
  <si>
    <t>Каша вязкая молочная ячневая с маслом сливочным</t>
  </si>
  <si>
    <t>294/330</t>
  </si>
  <si>
    <t>Каша  вязкая молочная из  пшенной крупы с маслом сливочным</t>
  </si>
  <si>
    <t>( 12 лет и старше )</t>
  </si>
  <si>
    <t>Салат из свежей капусты</t>
  </si>
  <si>
    <t>Гуляш из говядины</t>
  </si>
  <si>
    <t>100/30</t>
  </si>
  <si>
    <t>279/331</t>
  </si>
  <si>
    <t>180/10</t>
  </si>
  <si>
    <t>"01" ноября 2023г</t>
  </si>
  <si>
    <t>200/20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</si>
  <si>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</si>
  <si>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</si>
  <si>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</si>
  <si>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</si>
  <si>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Фрукт свежий, сезонный  </t>
  </si>
  <si>
    <t xml:space="preserve"> Суп картофельный с бобовыми     (горох)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</si>
</sst>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0" xfId="0" applyNumberFormat="1" applyFont="1"/>
    <xf numFmtId="2" fontId="0" fillId="0" borderId="1" xfId="0" applyNumberForma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0" fillId="0" borderId="1" xfId="0" applyNumberFormat="1" applyBorder="1"/>
    <xf numFmtId="2" fontId="12" fillId="0" borderId="1" xfId="0" applyNumberFormat="1" applyFont="1" applyBorder="1" applyAlignment="1">
      <alignment horizontal="center"/>
    </xf>
    <xf numFmtId="2" fontId="2" fillId="2" borderId="9" xfId="0" applyNumberFormat="1" applyFont="1" applyFill="1" applyBorder="1" applyAlignment="1">
      <alignment horizontal="center" wrapText="1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/>
    <xf numFmtId="2" fontId="2" fillId="0" borderId="9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2"/>
  <sheetViews>
    <sheetView tabSelected="1" view="pageBreakPreview" topLeftCell="A265" zoomScale="110" zoomScaleNormal="100" zoomScaleSheetLayoutView="110" workbookViewId="0">
      <selection activeCell="A272" sqref="A272"/>
    </sheetView>
  </sheetViews>
  <sheetFormatPr defaultRowHeight="15" x14ac:dyDescent="0.25"/>
  <cols>
    <col min="1" max="1" width="6.7109375" customWidth="1"/>
    <col min="2" max="2" width="5" customWidth="1"/>
    <col min="3" max="3" width="38.85546875" customWidth="1"/>
    <col min="4" max="4" width="7.7109375" customWidth="1"/>
    <col min="5" max="5" width="8.85546875" customWidth="1"/>
    <col min="6" max="6" width="9.28515625" customWidth="1"/>
    <col min="7" max="7" width="7.42578125" customWidth="1"/>
    <col min="8" max="8" width="9.5703125" customWidth="1"/>
    <col min="9" max="9" width="10.28515625" customWidth="1"/>
    <col min="10" max="10" width="0.7109375" hidden="1" customWidth="1"/>
    <col min="11" max="12" width="7" customWidth="1"/>
    <col min="13" max="13" width="7.42578125" customWidth="1"/>
    <col min="14" max="14" width="6.85546875" customWidth="1"/>
    <col min="15" max="15" width="6.5703125" customWidth="1"/>
    <col min="16" max="16" width="6.42578125" customWidth="1"/>
    <col min="17" max="17" width="7.42578125" customWidth="1"/>
    <col min="18" max="18" width="6.85546875" customWidth="1"/>
    <col min="20" max="20" width="15.42578125" customWidth="1"/>
    <col min="34" max="34" width="5.140625" customWidth="1"/>
  </cols>
  <sheetData>
    <row r="1" spans="1:18" ht="20.25" customHeight="1" x14ac:dyDescent="0.25">
      <c r="A1" s="99" t="s">
        <v>40</v>
      </c>
      <c r="B1" s="99"/>
      <c r="C1" s="99"/>
      <c r="D1" s="105" t="s">
        <v>63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15" customHeight="1" x14ac:dyDescent="0.25">
      <c r="A2" s="100" t="s">
        <v>54</v>
      </c>
      <c r="B2" s="100"/>
      <c r="C2" s="100"/>
      <c r="D2" s="104"/>
      <c r="E2" s="104"/>
      <c r="F2" s="104"/>
      <c r="G2" s="104"/>
      <c r="H2" s="104"/>
      <c r="I2" s="104"/>
      <c r="J2" s="11"/>
      <c r="K2" s="106" t="s">
        <v>28</v>
      </c>
      <c r="L2" s="106"/>
      <c r="M2" s="106"/>
      <c r="N2" s="106"/>
      <c r="O2" s="106"/>
      <c r="P2" s="106"/>
      <c r="Q2" s="106"/>
      <c r="R2" s="106"/>
    </row>
    <row r="3" spans="1:18" ht="15" hidden="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12"/>
      <c r="N3" s="12"/>
      <c r="O3" s="12"/>
      <c r="P3" s="12"/>
      <c r="Q3" s="12"/>
      <c r="R3" s="12"/>
    </row>
    <row r="4" spans="1:18" ht="15" customHeight="1" x14ac:dyDescent="0.25">
      <c r="A4" s="101" t="s">
        <v>50</v>
      </c>
      <c r="B4" s="101"/>
      <c r="C4" s="101"/>
      <c r="D4" s="107" t="s">
        <v>62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ht="15" customHeight="1" x14ac:dyDescent="0.25">
      <c r="A5" s="102" t="s">
        <v>97</v>
      </c>
      <c r="B5" s="102"/>
      <c r="C5" s="102"/>
      <c r="D5" s="103"/>
      <c r="E5" s="103"/>
      <c r="F5" s="103"/>
      <c r="G5" s="108" t="s">
        <v>126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18" customHeight="1" x14ac:dyDescent="0.25">
      <c r="A6" s="109" t="s">
        <v>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ht="15" customHeight="1" x14ac:dyDescent="0.25">
      <c r="A7" s="113" t="s">
        <v>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ht="15" customHeight="1" x14ac:dyDescent="0.25">
      <c r="A8" s="98" t="s">
        <v>120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8" customHeight="1" x14ac:dyDescent="0.25">
      <c r="A9" s="110" t="s">
        <v>39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2"/>
    </row>
    <row r="10" spans="1:18" ht="18" customHeight="1" x14ac:dyDescent="0.25">
      <c r="A10" s="86" t="s">
        <v>4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ht="18" customHeight="1" x14ac:dyDescent="0.25">
      <c r="A11" s="87" t="s">
        <v>29</v>
      </c>
      <c r="B11" s="82" t="s">
        <v>0</v>
      </c>
      <c r="C11" s="87" t="s">
        <v>38</v>
      </c>
      <c r="D11" s="95" t="s">
        <v>79</v>
      </c>
      <c r="E11" s="82" t="s">
        <v>2</v>
      </c>
      <c r="F11" s="83" t="s">
        <v>67</v>
      </c>
      <c r="G11" s="83" t="s">
        <v>68</v>
      </c>
      <c r="H11" s="83" t="s">
        <v>69</v>
      </c>
      <c r="I11" s="82" t="s">
        <v>3</v>
      </c>
      <c r="J11" s="15"/>
      <c r="K11" s="8" t="s">
        <v>70</v>
      </c>
      <c r="L11" s="8"/>
      <c r="M11" s="8"/>
      <c r="N11" s="8"/>
      <c r="O11" s="82" t="s">
        <v>71</v>
      </c>
      <c r="P11" s="82"/>
      <c r="Q11" s="82"/>
      <c r="R11" s="82"/>
    </row>
    <row r="12" spans="1:18" ht="15" customHeight="1" x14ac:dyDescent="0.25">
      <c r="A12" s="87"/>
      <c r="B12" s="82"/>
      <c r="C12" s="87"/>
      <c r="D12" s="95"/>
      <c r="E12" s="82"/>
      <c r="F12" s="84"/>
      <c r="G12" s="84"/>
      <c r="H12" s="84"/>
      <c r="I12" s="82"/>
      <c r="J12" s="15"/>
      <c r="K12" s="30" t="s">
        <v>30</v>
      </c>
      <c r="L12" s="24" t="s">
        <v>31</v>
      </c>
      <c r="M12" s="24" t="s">
        <v>32</v>
      </c>
      <c r="N12" s="24" t="s">
        <v>33</v>
      </c>
      <c r="O12" s="32" t="s">
        <v>34</v>
      </c>
      <c r="P12" s="24" t="s">
        <v>77</v>
      </c>
      <c r="Q12" s="24" t="s">
        <v>36</v>
      </c>
      <c r="R12" s="24" t="s">
        <v>37</v>
      </c>
    </row>
    <row r="13" spans="1:18" ht="30.75" customHeight="1" x14ac:dyDescent="0.25">
      <c r="A13" s="26">
        <v>175</v>
      </c>
      <c r="B13" s="25" t="s">
        <v>7</v>
      </c>
      <c r="C13" s="43" t="s">
        <v>106</v>
      </c>
      <c r="D13" s="50" t="s">
        <v>90</v>
      </c>
      <c r="E13" s="51">
        <v>27</v>
      </c>
      <c r="F13" s="51">
        <f>5.8*250/210</f>
        <v>6.9047619047619051</v>
      </c>
      <c r="G13" s="51">
        <f>10.67*250/210</f>
        <v>12.702380952380953</v>
      </c>
      <c r="H13" s="51">
        <f>41.48*250/210</f>
        <v>49.38095238095238</v>
      </c>
      <c r="I13" s="51">
        <f>286.36*250/210</f>
        <v>340.90476190476193</v>
      </c>
      <c r="J13" s="50">
        <v>195</v>
      </c>
      <c r="K13" s="51">
        <f>127.7*250/210</f>
        <v>152.02380952380952</v>
      </c>
      <c r="L13" s="51">
        <f>35.53*250/210</f>
        <v>42.297619047619051</v>
      </c>
      <c r="M13" s="51">
        <f>149.6*250/210</f>
        <v>178.0952380952381</v>
      </c>
      <c r="N13" s="51">
        <f>0.8*250/210</f>
        <v>0.95238095238095233</v>
      </c>
      <c r="O13" s="51">
        <f>52.31*250/210</f>
        <v>62.273809523809526</v>
      </c>
      <c r="P13" s="51">
        <f>0.1*250/210</f>
        <v>0.11904761904761904</v>
      </c>
      <c r="Q13" s="51">
        <f>0.55*250/210</f>
        <v>0.65476190476190477</v>
      </c>
      <c r="R13" s="35">
        <f>0.92*250/210</f>
        <v>1.0952380952380953</v>
      </c>
    </row>
    <row r="14" spans="1:18" ht="18" customHeight="1" x14ac:dyDescent="0.25">
      <c r="A14" s="1"/>
      <c r="B14" s="1" t="s">
        <v>8</v>
      </c>
      <c r="C14" s="27" t="s">
        <v>65</v>
      </c>
      <c r="D14" s="1">
        <v>50</v>
      </c>
      <c r="E14" s="2">
        <v>5.63</v>
      </c>
      <c r="F14" s="2">
        <v>4</v>
      </c>
      <c r="G14" s="2">
        <v>0.7</v>
      </c>
      <c r="H14" s="2">
        <v>21</v>
      </c>
      <c r="I14" s="2">
        <v>106</v>
      </c>
      <c r="J14" s="27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73">
        <v>0</v>
      </c>
    </row>
    <row r="15" spans="1:18" ht="18" customHeight="1" x14ac:dyDescent="0.25">
      <c r="A15" s="28">
        <v>15</v>
      </c>
      <c r="B15" s="1" t="s">
        <v>9</v>
      </c>
      <c r="C15" s="27" t="s">
        <v>107</v>
      </c>
      <c r="D15" s="1">
        <v>20</v>
      </c>
      <c r="E15" s="2">
        <v>19.2</v>
      </c>
      <c r="F15" s="35">
        <v>4.6399999999999997</v>
      </c>
      <c r="G15" s="35">
        <v>5.9</v>
      </c>
      <c r="H15" s="74">
        <v>0</v>
      </c>
      <c r="I15" s="35">
        <v>71.66</v>
      </c>
      <c r="J15" s="68"/>
      <c r="K15" s="35">
        <v>176</v>
      </c>
      <c r="L15" s="35">
        <v>7</v>
      </c>
      <c r="M15" s="35">
        <v>100</v>
      </c>
      <c r="N15" s="35">
        <v>0.2</v>
      </c>
      <c r="O15" s="35">
        <v>52</v>
      </c>
      <c r="P15" s="74">
        <v>0</v>
      </c>
      <c r="Q15" s="74">
        <v>0</v>
      </c>
      <c r="R15" s="74">
        <v>0</v>
      </c>
    </row>
    <row r="16" spans="1:18" ht="18" customHeight="1" x14ac:dyDescent="0.25">
      <c r="A16" s="1"/>
      <c r="B16" s="1" t="s">
        <v>13</v>
      </c>
      <c r="C16" s="27" t="s">
        <v>27</v>
      </c>
      <c r="D16" s="1">
        <v>20</v>
      </c>
      <c r="E16" s="2">
        <v>4.2</v>
      </c>
      <c r="F16" s="2">
        <v>0.8</v>
      </c>
      <c r="G16" s="1">
        <v>1.04</v>
      </c>
      <c r="H16" s="1">
        <v>8.64</v>
      </c>
      <c r="I16" s="2">
        <v>46.92</v>
      </c>
      <c r="J16" s="1"/>
      <c r="K16" s="2">
        <v>13.2</v>
      </c>
      <c r="L16" s="2">
        <v>2.4</v>
      </c>
      <c r="M16" s="2">
        <v>10.8</v>
      </c>
      <c r="N16" s="2">
        <v>0.28000000000000003</v>
      </c>
      <c r="O16" s="2">
        <v>1.32</v>
      </c>
      <c r="P16" s="73">
        <f>0*30/50</f>
        <v>0</v>
      </c>
      <c r="Q16" s="73">
        <f t="shared" ref="Q16:R16" si="0">0*30/50</f>
        <v>0</v>
      </c>
      <c r="R16" s="73">
        <f t="shared" si="0"/>
        <v>0</v>
      </c>
    </row>
    <row r="17" spans="1:18" ht="18" customHeight="1" x14ac:dyDescent="0.25">
      <c r="A17" s="1">
        <v>382</v>
      </c>
      <c r="B17" s="1" t="s">
        <v>14</v>
      </c>
      <c r="C17" s="31" t="s">
        <v>10</v>
      </c>
      <c r="D17" s="37">
        <v>200</v>
      </c>
      <c r="E17" s="35">
        <v>13</v>
      </c>
      <c r="F17" s="32">
        <v>2.94</v>
      </c>
      <c r="G17" s="32">
        <v>3.42</v>
      </c>
      <c r="H17" s="32">
        <v>17.579999999999998</v>
      </c>
      <c r="I17" s="35">
        <v>118.6</v>
      </c>
      <c r="J17" s="32"/>
      <c r="K17" s="35">
        <v>152.19999999999999</v>
      </c>
      <c r="L17" s="35">
        <v>21.34</v>
      </c>
      <c r="M17" s="35">
        <v>124.56</v>
      </c>
      <c r="N17" s="35">
        <v>0.48</v>
      </c>
      <c r="O17" s="35">
        <v>24.4</v>
      </c>
      <c r="P17" s="35">
        <v>0.06</v>
      </c>
      <c r="Q17" s="33">
        <v>0.17</v>
      </c>
      <c r="R17" s="35">
        <v>1.59</v>
      </c>
    </row>
    <row r="18" spans="1:18" x14ac:dyDescent="0.25">
      <c r="A18" s="81" t="s">
        <v>11</v>
      </c>
      <c r="B18" s="81"/>
      <c r="C18" s="81"/>
      <c r="D18" s="39">
        <v>550</v>
      </c>
      <c r="E18" s="40">
        <f>SUM(E13:E17)</f>
        <v>69.03</v>
      </c>
      <c r="F18" s="40">
        <f>SUM(F13:F17)</f>
        <v>19.284761904761908</v>
      </c>
      <c r="G18" s="40">
        <f>SUM(G13:G17)</f>
        <v>23.762380952380951</v>
      </c>
      <c r="H18" s="40">
        <f>SUM(H13:H17)</f>
        <v>96.600952380952378</v>
      </c>
      <c r="I18" s="40">
        <f>SUM(I13:I17)</f>
        <v>684.08476190476188</v>
      </c>
      <c r="J18" s="41"/>
      <c r="K18" s="40">
        <f t="shared" ref="K18:R18" si="1">SUM(K13:K17)</f>
        <v>504.9238095238095</v>
      </c>
      <c r="L18" s="40">
        <f t="shared" si="1"/>
        <v>89.53761904761906</v>
      </c>
      <c r="M18" s="40">
        <f t="shared" si="1"/>
        <v>456.95523809523809</v>
      </c>
      <c r="N18" s="40">
        <f t="shared" si="1"/>
        <v>2.9123809523809521</v>
      </c>
      <c r="O18" s="40">
        <f t="shared" si="1"/>
        <v>139.99380952380952</v>
      </c>
      <c r="P18" s="40">
        <f t="shared" si="1"/>
        <v>0.27904761904761904</v>
      </c>
      <c r="Q18" s="40">
        <f t="shared" si="1"/>
        <v>1.6247619047619049</v>
      </c>
      <c r="R18" s="40">
        <f t="shared" si="1"/>
        <v>2.6852380952380956</v>
      </c>
    </row>
    <row r="19" spans="1:18" ht="18" customHeight="1" x14ac:dyDescent="0.25">
      <c r="A19" s="86" t="s">
        <v>12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ht="18" customHeight="1" x14ac:dyDescent="0.25">
      <c r="A20" s="87" t="s">
        <v>29</v>
      </c>
      <c r="B20" s="82" t="s">
        <v>0</v>
      </c>
      <c r="C20" s="87" t="s">
        <v>38</v>
      </c>
      <c r="D20" s="82" t="s">
        <v>79</v>
      </c>
      <c r="E20" s="82" t="s">
        <v>2</v>
      </c>
      <c r="F20" s="83" t="s">
        <v>67</v>
      </c>
      <c r="G20" s="83" t="s">
        <v>68</v>
      </c>
      <c r="H20" s="83" t="s">
        <v>69</v>
      </c>
      <c r="I20" s="82" t="s">
        <v>3</v>
      </c>
      <c r="J20" s="15"/>
      <c r="K20" s="8" t="s">
        <v>70</v>
      </c>
      <c r="L20" s="8"/>
      <c r="M20" s="8"/>
      <c r="N20" s="8"/>
      <c r="O20" s="82" t="s">
        <v>71</v>
      </c>
      <c r="P20" s="82"/>
      <c r="Q20" s="82"/>
      <c r="R20" s="82"/>
    </row>
    <row r="21" spans="1:18" ht="15" customHeight="1" x14ac:dyDescent="0.25">
      <c r="A21" s="87"/>
      <c r="B21" s="82"/>
      <c r="C21" s="87"/>
      <c r="D21" s="82"/>
      <c r="E21" s="82"/>
      <c r="F21" s="84"/>
      <c r="G21" s="84"/>
      <c r="H21" s="84"/>
      <c r="I21" s="82"/>
      <c r="J21" s="15"/>
      <c r="K21" s="30" t="s">
        <v>30</v>
      </c>
      <c r="L21" s="24" t="s">
        <v>31</v>
      </c>
      <c r="M21" s="24" t="s">
        <v>32</v>
      </c>
      <c r="N21" s="24" t="s">
        <v>33</v>
      </c>
      <c r="O21" s="24" t="s">
        <v>34</v>
      </c>
      <c r="P21" s="24" t="s">
        <v>77</v>
      </c>
      <c r="Q21" s="24" t="s">
        <v>36</v>
      </c>
      <c r="R21" s="24" t="s">
        <v>37</v>
      </c>
    </row>
    <row r="22" spans="1:18" ht="18" customHeight="1" x14ac:dyDescent="0.25">
      <c r="A22" s="48">
        <v>71</v>
      </c>
      <c r="B22" s="34" t="s">
        <v>7</v>
      </c>
      <c r="C22" s="5" t="s">
        <v>87</v>
      </c>
      <c r="D22" s="1">
        <v>100</v>
      </c>
      <c r="E22" s="1">
        <v>22.42</v>
      </c>
      <c r="F22" s="67">
        <v>1.2</v>
      </c>
      <c r="G22" s="67">
        <v>0.2</v>
      </c>
      <c r="H22" s="67">
        <v>4.5999999999999996</v>
      </c>
      <c r="I22" s="2">
        <v>26</v>
      </c>
      <c r="J22" s="49"/>
      <c r="K22" s="2">
        <v>14</v>
      </c>
      <c r="L22" s="2">
        <v>20</v>
      </c>
      <c r="M22" s="2">
        <v>0</v>
      </c>
      <c r="N22" s="2">
        <v>0.8</v>
      </c>
      <c r="O22" s="2">
        <v>0</v>
      </c>
      <c r="P22" s="2">
        <v>0</v>
      </c>
      <c r="Q22" s="2">
        <v>0</v>
      </c>
      <c r="R22" s="2">
        <v>17.5</v>
      </c>
    </row>
    <row r="23" spans="1:18" ht="26.25" customHeight="1" x14ac:dyDescent="0.25">
      <c r="A23" s="1">
        <v>104</v>
      </c>
      <c r="B23" s="1" t="s">
        <v>8</v>
      </c>
      <c r="C23" s="4" t="s">
        <v>20</v>
      </c>
      <c r="D23" s="32" t="s">
        <v>112</v>
      </c>
      <c r="E23" s="2">
        <v>36.049999999999997</v>
      </c>
      <c r="F23" s="2">
        <f>9*250/200</f>
        <v>11.25</v>
      </c>
      <c r="G23" s="2">
        <f>6.3*250/200</f>
        <v>7.875</v>
      </c>
      <c r="H23" s="2">
        <f>22.1*250/200</f>
        <v>27.625</v>
      </c>
      <c r="I23" s="2">
        <f>180.9*250/200</f>
        <v>226.125</v>
      </c>
      <c r="J23" s="2"/>
      <c r="K23" s="2">
        <f>66.15*250/200</f>
        <v>82.6875</v>
      </c>
      <c r="L23" s="2">
        <f>26.5*250/200</f>
        <v>33.125</v>
      </c>
      <c r="M23" s="2">
        <f>64.1*250/200</f>
        <v>80.124999999999986</v>
      </c>
      <c r="N23" s="2">
        <f>1.38*250/200</f>
        <v>1.7250000000000001</v>
      </c>
      <c r="O23" s="2">
        <f>0.8*250/200</f>
        <v>1</v>
      </c>
      <c r="P23" s="2">
        <f>9.48*250/200</f>
        <v>11.85</v>
      </c>
      <c r="Q23" s="2">
        <f>1.3*250/200</f>
        <v>1.625</v>
      </c>
      <c r="R23" s="2">
        <f>20.03*250/200</f>
        <v>25.037500000000001</v>
      </c>
    </row>
    <row r="24" spans="1:18" ht="18" customHeight="1" x14ac:dyDescent="0.25">
      <c r="A24" s="1">
        <v>282</v>
      </c>
      <c r="B24" s="1" t="s">
        <v>9</v>
      </c>
      <c r="C24" s="5" t="s">
        <v>61</v>
      </c>
      <c r="D24" s="32" t="s">
        <v>110</v>
      </c>
      <c r="E24" s="2">
        <v>67.25</v>
      </c>
      <c r="F24" s="2">
        <v>16.8</v>
      </c>
      <c r="G24" s="2">
        <v>23.1</v>
      </c>
      <c r="H24" s="2">
        <v>6.1</v>
      </c>
      <c r="I24" s="2">
        <v>299.7</v>
      </c>
      <c r="J24" s="49"/>
      <c r="K24" s="2">
        <v>19.5</v>
      </c>
      <c r="L24" s="2">
        <v>22</v>
      </c>
      <c r="M24" s="2">
        <v>346.9</v>
      </c>
      <c r="N24" s="2">
        <v>7.4</v>
      </c>
      <c r="O24" s="2">
        <v>9.6999999999999993</v>
      </c>
      <c r="P24" s="2">
        <v>2.7</v>
      </c>
      <c r="Q24" s="2">
        <v>9.5</v>
      </c>
      <c r="R24" s="2">
        <v>34.6</v>
      </c>
    </row>
    <row r="25" spans="1:18" ht="18" customHeight="1" x14ac:dyDescent="0.25">
      <c r="A25" s="1">
        <v>309</v>
      </c>
      <c r="B25" s="32" t="s">
        <v>13</v>
      </c>
      <c r="C25" s="44" t="s">
        <v>105</v>
      </c>
      <c r="D25" s="32">
        <v>180</v>
      </c>
      <c r="E25" s="2">
        <v>11.92</v>
      </c>
      <c r="F25" s="2">
        <f>5.52*180/150</f>
        <v>6.6239999999999997</v>
      </c>
      <c r="G25" s="2">
        <f>4.5*180/150</f>
        <v>5.4</v>
      </c>
      <c r="H25" s="2">
        <f>26.45*180/150</f>
        <v>31.74</v>
      </c>
      <c r="I25" s="2">
        <f>168.45*180/150</f>
        <v>202.14</v>
      </c>
      <c r="J25" s="55"/>
      <c r="K25" s="2">
        <f>4.86*180/150</f>
        <v>5.8320000000000007</v>
      </c>
      <c r="L25" s="2">
        <f>21.12*180/150</f>
        <v>25.344000000000001</v>
      </c>
      <c r="M25" s="2">
        <f>37.17*180/150</f>
        <v>44.603999999999999</v>
      </c>
      <c r="N25" s="2">
        <f>1.1025*180/150</f>
        <v>1.3230000000000002</v>
      </c>
      <c r="O25" s="2">
        <v>0</v>
      </c>
      <c r="P25" s="2">
        <f>0.0525*180/150</f>
        <v>6.3E-2</v>
      </c>
      <c r="Q25" s="2">
        <f>0.78*180/150</f>
        <v>0.93600000000000005</v>
      </c>
      <c r="R25" s="2">
        <v>0</v>
      </c>
    </row>
    <row r="26" spans="1:18" ht="17.25" customHeight="1" x14ac:dyDescent="0.25">
      <c r="A26" s="1">
        <v>349</v>
      </c>
      <c r="B26" s="1" t="s">
        <v>14</v>
      </c>
      <c r="C26" s="4" t="s">
        <v>55</v>
      </c>
      <c r="D26" s="32">
        <v>200</v>
      </c>
      <c r="E26" s="1">
        <v>7.02</v>
      </c>
      <c r="F26" s="2">
        <v>0.6</v>
      </c>
      <c r="G26" s="2">
        <v>0.09</v>
      </c>
      <c r="H26" s="2">
        <v>32.01</v>
      </c>
      <c r="I26" s="2">
        <v>132.80000000000001</v>
      </c>
      <c r="J26" s="49"/>
      <c r="K26" s="2">
        <v>32.479999999999997</v>
      </c>
      <c r="L26" s="2">
        <v>17.46</v>
      </c>
      <c r="M26" s="2">
        <v>23.44</v>
      </c>
      <c r="N26" s="2">
        <v>0.7</v>
      </c>
      <c r="O26" s="2">
        <v>0</v>
      </c>
      <c r="P26" s="2">
        <v>0.02</v>
      </c>
      <c r="Q26" s="2">
        <v>0.26</v>
      </c>
      <c r="R26" s="2">
        <v>0.73</v>
      </c>
    </row>
    <row r="27" spans="1:18" ht="18" customHeight="1" x14ac:dyDescent="0.25">
      <c r="A27" s="1"/>
      <c r="B27" s="1">
        <v>6</v>
      </c>
      <c r="C27" s="4" t="s">
        <v>95</v>
      </c>
      <c r="D27" s="32">
        <v>40</v>
      </c>
      <c r="E27" s="2">
        <v>2.93</v>
      </c>
      <c r="F27" s="2">
        <f>1.68*40/30</f>
        <v>2.2400000000000002</v>
      </c>
      <c r="G27" s="2">
        <f>0.33*40/30</f>
        <v>0.44000000000000006</v>
      </c>
      <c r="H27" s="2">
        <f>14.82*40/30</f>
        <v>19.759999999999998</v>
      </c>
      <c r="I27" s="2">
        <f>68.97*40/30</f>
        <v>91.960000000000008</v>
      </c>
      <c r="J27" s="49"/>
      <c r="K27" s="2">
        <f>6.9*40/30</f>
        <v>9.1999999999999993</v>
      </c>
      <c r="L27" s="2">
        <f>7.5*40/30</f>
        <v>10</v>
      </c>
      <c r="M27" s="2">
        <f>31.8*40/30</f>
        <v>42.4</v>
      </c>
      <c r="N27" s="2">
        <f>0.93*40/30</f>
        <v>1.24</v>
      </c>
      <c r="O27" s="2">
        <v>0</v>
      </c>
      <c r="P27" s="2">
        <f>0.03*40/30</f>
        <v>0.04</v>
      </c>
      <c r="Q27" s="2">
        <v>0</v>
      </c>
      <c r="R27" s="2">
        <v>0</v>
      </c>
    </row>
    <row r="28" spans="1:18" ht="18" customHeight="1" x14ac:dyDescent="0.25">
      <c r="A28" s="1"/>
      <c r="B28" s="1" t="s">
        <v>78</v>
      </c>
      <c r="C28" s="31" t="s">
        <v>80</v>
      </c>
      <c r="D28" s="32">
        <v>70</v>
      </c>
      <c r="E28" s="35">
        <v>5.13</v>
      </c>
      <c r="F28" s="35">
        <f>2.37*70/30</f>
        <v>5.53</v>
      </c>
      <c r="G28" s="35">
        <f>0.3*70/30</f>
        <v>0.7</v>
      </c>
      <c r="H28" s="35">
        <f>14.49*70/30</f>
        <v>33.81</v>
      </c>
      <c r="I28" s="35">
        <f>70.14*70/30</f>
        <v>163.66</v>
      </c>
      <c r="J28" s="68"/>
      <c r="K28" s="35">
        <f>6.9*70/30</f>
        <v>16.100000000000001</v>
      </c>
      <c r="L28" s="35">
        <f>9.9*70/30</f>
        <v>23.1</v>
      </c>
      <c r="M28" s="35">
        <f>26.1*70/30</f>
        <v>60.9</v>
      </c>
      <c r="N28" s="35">
        <f>0.33*70/30</f>
        <v>0.77</v>
      </c>
      <c r="O28" s="35">
        <v>0</v>
      </c>
      <c r="P28" s="35">
        <f>0.03*70/30</f>
        <v>7.0000000000000007E-2</v>
      </c>
      <c r="Q28" s="35">
        <v>0</v>
      </c>
      <c r="R28" s="35">
        <v>0</v>
      </c>
    </row>
    <row r="29" spans="1:18" ht="18" customHeight="1" x14ac:dyDescent="0.25">
      <c r="A29" s="1">
        <v>386</v>
      </c>
      <c r="B29" s="1" t="s">
        <v>91</v>
      </c>
      <c r="C29" s="27" t="s">
        <v>92</v>
      </c>
      <c r="D29" s="1">
        <v>100</v>
      </c>
      <c r="E29" s="2">
        <v>12.36</v>
      </c>
      <c r="F29" s="2">
        <v>3</v>
      </c>
      <c r="G29" s="2">
        <v>1</v>
      </c>
      <c r="H29" s="2">
        <v>4.2</v>
      </c>
      <c r="I29" s="2">
        <v>40</v>
      </c>
      <c r="J29" s="2">
        <v>40</v>
      </c>
      <c r="K29" s="2">
        <v>124</v>
      </c>
      <c r="L29" s="2">
        <v>14</v>
      </c>
      <c r="M29" s="2">
        <v>92</v>
      </c>
      <c r="N29" s="2">
        <v>0.1</v>
      </c>
      <c r="O29" s="2">
        <v>0</v>
      </c>
      <c r="P29" s="2">
        <v>0.03</v>
      </c>
      <c r="Q29" s="2">
        <v>0.1</v>
      </c>
      <c r="R29" s="2">
        <v>0.3</v>
      </c>
    </row>
    <row r="30" spans="1:18" ht="18" customHeight="1" x14ac:dyDescent="0.25">
      <c r="A30" s="81" t="s">
        <v>11</v>
      </c>
      <c r="B30" s="81"/>
      <c r="C30" s="81"/>
      <c r="D30" s="38">
        <v>1080</v>
      </c>
      <c r="E30" s="57">
        <f t="shared" ref="E30:R30" si="2">SUM(E22:E29)</f>
        <v>165.07999999999998</v>
      </c>
      <c r="F30" s="57">
        <f t="shared" si="2"/>
        <v>47.244000000000007</v>
      </c>
      <c r="G30" s="57">
        <f t="shared" si="2"/>
        <v>38.805000000000007</v>
      </c>
      <c r="H30" s="57">
        <f t="shared" si="2"/>
        <v>159.84499999999997</v>
      </c>
      <c r="I30" s="57">
        <f t="shared" si="2"/>
        <v>1182.3850000000002</v>
      </c>
      <c r="J30" s="57">
        <f t="shared" si="2"/>
        <v>40</v>
      </c>
      <c r="K30" s="57">
        <f t="shared" si="2"/>
        <v>303.79949999999997</v>
      </c>
      <c r="L30" s="57">
        <f t="shared" si="2"/>
        <v>165.029</v>
      </c>
      <c r="M30" s="57">
        <f t="shared" si="2"/>
        <v>690.36899999999991</v>
      </c>
      <c r="N30" s="57">
        <f t="shared" si="2"/>
        <v>14.058</v>
      </c>
      <c r="O30" s="57">
        <f t="shared" si="2"/>
        <v>10.7</v>
      </c>
      <c r="P30" s="57">
        <f t="shared" si="2"/>
        <v>14.773</v>
      </c>
      <c r="Q30" s="57">
        <f t="shared" si="2"/>
        <v>12.420999999999999</v>
      </c>
      <c r="R30" s="57">
        <f t="shared" si="2"/>
        <v>78.167500000000004</v>
      </c>
    </row>
    <row r="31" spans="1:18" ht="18" customHeight="1" x14ac:dyDescent="0.25">
      <c r="A31" s="85" t="s">
        <v>17</v>
      </c>
      <c r="B31" s="85"/>
      <c r="C31" s="85"/>
      <c r="D31" s="85"/>
      <c r="E31" s="13">
        <f>E18+E30</f>
        <v>234.10999999999999</v>
      </c>
      <c r="F31" s="13">
        <f>F18+F30</f>
        <v>66.528761904761922</v>
      </c>
      <c r="G31" s="13">
        <f>G18+G30</f>
        <v>62.567380952380958</v>
      </c>
      <c r="H31" s="13">
        <f>H18+H30</f>
        <v>256.44595238095235</v>
      </c>
      <c r="I31" s="13">
        <f>I18+I30</f>
        <v>1866.469761904762</v>
      </c>
      <c r="J31" s="49"/>
      <c r="K31" s="13">
        <f t="shared" ref="K31:R31" si="3">K18+K30</f>
        <v>808.72330952380946</v>
      </c>
      <c r="L31" s="13">
        <f t="shared" si="3"/>
        <v>254.56661904761904</v>
      </c>
      <c r="M31" s="13">
        <f t="shared" si="3"/>
        <v>1147.3242380952379</v>
      </c>
      <c r="N31" s="13">
        <f t="shared" si="3"/>
        <v>16.970380952380953</v>
      </c>
      <c r="O31" s="13">
        <f t="shared" si="3"/>
        <v>150.69380952380951</v>
      </c>
      <c r="P31" s="13">
        <f t="shared" si="3"/>
        <v>15.052047619047618</v>
      </c>
      <c r="Q31" s="13">
        <f t="shared" si="3"/>
        <v>14.045761904761903</v>
      </c>
      <c r="R31" s="13">
        <f t="shared" si="3"/>
        <v>80.852738095238095</v>
      </c>
    </row>
    <row r="32" spans="1:18" ht="15" customHeight="1" x14ac:dyDescent="0.25">
      <c r="A32" s="16"/>
      <c r="B32" s="16"/>
      <c r="C32" s="16"/>
      <c r="D32" s="16"/>
      <c r="E32" s="18"/>
      <c r="F32" s="19"/>
      <c r="G32" s="19"/>
      <c r="H32" s="19"/>
      <c r="I32" s="19"/>
      <c r="J32" s="20"/>
      <c r="K32" s="19"/>
      <c r="L32" s="19"/>
      <c r="M32" s="19"/>
      <c r="N32" s="19"/>
      <c r="O32" s="19"/>
      <c r="P32" s="19"/>
      <c r="Q32" s="19"/>
      <c r="R32" s="19"/>
    </row>
    <row r="33" spans="1:34" ht="15" customHeight="1" x14ac:dyDescent="0.25">
      <c r="A33" s="16"/>
      <c r="B33" s="16"/>
      <c r="C33" s="16"/>
      <c r="D33" s="16"/>
      <c r="E33" s="18"/>
      <c r="F33" s="19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</row>
    <row r="34" spans="1:34" ht="18" customHeight="1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:34" ht="18" customHeight="1" x14ac:dyDescent="0.25">
      <c r="A35" s="88" t="s">
        <v>41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:34" ht="18" customHeight="1" x14ac:dyDescent="0.25">
      <c r="A36" s="86" t="s">
        <v>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34" ht="18" customHeight="1" x14ac:dyDescent="0.25">
      <c r="A37" s="87" t="s">
        <v>29</v>
      </c>
      <c r="B37" s="82" t="s">
        <v>0</v>
      </c>
      <c r="C37" s="87" t="s">
        <v>38</v>
      </c>
      <c r="D37" s="82" t="s">
        <v>82</v>
      </c>
      <c r="E37" s="82" t="s">
        <v>2</v>
      </c>
      <c r="F37" s="87" t="s">
        <v>67</v>
      </c>
      <c r="G37" s="87" t="s">
        <v>68</v>
      </c>
      <c r="H37" s="87" t="s">
        <v>69</v>
      </c>
      <c r="I37" s="82" t="s">
        <v>3</v>
      </c>
      <c r="J37" s="15"/>
      <c r="K37" s="8" t="s">
        <v>70</v>
      </c>
      <c r="L37" s="8"/>
      <c r="M37" s="8"/>
      <c r="N37" s="8"/>
      <c r="O37" s="82" t="s">
        <v>71</v>
      </c>
      <c r="P37" s="82"/>
      <c r="Q37" s="82"/>
      <c r="R37" s="8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:34" ht="15" customHeight="1" x14ac:dyDescent="0.25">
      <c r="A38" s="87"/>
      <c r="B38" s="82"/>
      <c r="C38" s="87"/>
      <c r="D38" s="82"/>
      <c r="E38" s="82"/>
      <c r="F38" s="87"/>
      <c r="G38" s="87"/>
      <c r="H38" s="87"/>
      <c r="I38" s="82"/>
      <c r="J38" s="15"/>
      <c r="K38" s="30" t="s">
        <v>30</v>
      </c>
      <c r="L38" s="24" t="s">
        <v>31</v>
      </c>
      <c r="M38" s="24" t="s">
        <v>32</v>
      </c>
      <c r="N38" s="24" t="s">
        <v>33</v>
      </c>
      <c r="O38" s="24" t="s">
        <v>34</v>
      </c>
      <c r="P38" s="24" t="s">
        <v>77</v>
      </c>
      <c r="Q38" s="24" t="s">
        <v>36</v>
      </c>
      <c r="R38" s="24" t="s">
        <v>37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34" ht="29.25" customHeight="1" x14ac:dyDescent="0.25">
      <c r="A39" s="1">
        <v>181</v>
      </c>
      <c r="B39" s="1" t="s">
        <v>7</v>
      </c>
      <c r="C39" s="4" t="s">
        <v>109</v>
      </c>
      <c r="D39" s="32" t="s">
        <v>90</v>
      </c>
      <c r="E39" s="2">
        <v>25.26</v>
      </c>
      <c r="F39" s="2">
        <f>6.1*250/200</f>
        <v>7.625</v>
      </c>
      <c r="G39" s="2">
        <f>11.3*250/200</f>
        <v>14.125</v>
      </c>
      <c r="H39" s="2">
        <f>33.5*250/200</f>
        <v>41.875</v>
      </c>
      <c r="I39" s="2">
        <f>260*250/200</f>
        <v>325</v>
      </c>
      <c r="J39" s="49"/>
      <c r="K39" s="2">
        <f>192.2*250/200</f>
        <v>240.25</v>
      </c>
      <c r="L39" s="2">
        <f>23.5*250/200</f>
        <v>29.375</v>
      </c>
      <c r="M39" s="2">
        <f>156.1*250/200</f>
        <v>195.125</v>
      </c>
      <c r="N39" s="2">
        <f>0.3*250/200</f>
        <v>0.375</v>
      </c>
      <c r="O39" s="2">
        <f>36.7*250/200</f>
        <v>45.875</v>
      </c>
      <c r="P39" s="2">
        <f>0.1*250/200</f>
        <v>0.125</v>
      </c>
      <c r="Q39" s="2">
        <v>0</v>
      </c>
      <c r="R39" s="2">
        <f>1.1*250/200</f>
        <v>1.375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:34" ht="18" customHeight="1" x14ac:dyDescent="0.25">
      <c r="A40" s="28"/>
      <c r="B40" s="1" t="s">
        <v>8</v>
      </c>
      <c r="C40" s="27" t="s">
        <v>81</v>
      </c>
      <c r="D40" s="1">
        <v>40</v>
      </c>
      <c r="E40" s="2">
        <v>2.93</v>
      </c>
      <c r="F40" s="2">
        <v>2.4</v>
      </c>
      <c r="G40" s="2">
        <v>0.4</v>
      </c>
      <c r="H40" s="2">
        <v>12.6</v>
      </c>
      <c r="I40" s="2">
        <v>63.6</v>
      </c>
      <c r="J40" s="49"/>
      <c r="K40" s="2">
        <v>6.9</v>
      </c>
      <c r="L40" s="2">
        <v>9.9</v>
      </c>
      <c r="M40" s="2">
        <v>26.1</v>
      </c>
      <c r="N40" s="2">
        <v>0.6</v>
      </c>
      <c r="O40" s="73">
        <v>0</v>
      </c>
      <c r="P40" s="2">
        <v>0.1</v>
      </c>
      <c r="Q40" s="2">
        <v>0.5</v>
      </c>
      <c r="R40" s="73">
        <v>0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34" ht="18" customHeight="1" x14ac:dyDescent="0.25">
      <c r="A41" s="28">
        <v>15</v>
      </c>
      <c r="B41" s="1" t="s">
        <v>9</v>
      </c>
      <c r="C41" s="27" t="s">
        <v>107</v>
      </c>
      <c r="D41" s="32">
        <v>10</v>
      </c>
      <c r="E41" s="35">
        <v>9.6</v>
      </c>
      <c r="F41" s="35">
        <v>2.3199999999999998</v>
      </c>
      <c r="G41" s="35">
        <v>2.95</v>
      </c>
      <c r="H41" s="74">
        <v>0</v>
      </c>
      <c r="I41" s="35">
        <v>35.83</v>
      </c>
      <c r="J41" s="68"/>
      <c r="K41" s="35">
        <v>88</v>
      </c>
      <c r="L41" s="35">
        <v>3.5</v>
      </c>
      <c r="M41" s="35">
        <v>50</v>
      </c>
      <c r="N41" s="35">
        <v>0.1</v>
      </c>
      <c r="O41" s="35">
        <v>26</v>
      </c>
      <c r="P41" s="74">
        <v>0</v>
      </c>
      <c r="Q41" s="74">
        <v>0</v>
      </c>
      <c r="R41" s="74">
        <v>0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ht="18" customHeight="1" x14ac:dyDescent="0.25">
      <c r="A42" s="1">
        <v>209</v>
      </c>
      <c r="B42" s="1" t="s">
        <v>13</v>
      </c>
      <c r="C42" s="27" t="s">
        <v>86</v>
      </c>
      <c r="D42" s="32">
        <v>40</v>
      </c>
      <c r="E42" s="2">
        <v>12</v>
      </c>
      <c r="F42" s="2">
        <v>5.08</v>
      </c>
      <c r="G42" s="2">
        <v>4.5999999999999996</v>
      </c>
      <c r="H42" s="2">
        <v>0.28000000000000003</v>
      </c>
      <c r="I42" s="2">
        <v>63</v>
      </c>
      <c r="J42" s="27"/>
      <c r="K42" s="2">
        <v>22</v>
      </c>
      <c r="L42" s="2">
        <v>4.8</v>
      </c>
      <c r="M42" s="2">
        <v>76.8</v>
      </c>
      <c r="N42" s="2">
        <v>1</v>
      </c>
      <c r="O42" s="2">
        <v>100</v>
      </c>
      <c r="P42" s="2">
        <v>0.03</v>
      </c>
      <c r="Q42" s="2">
        <v>0.08</v>
      </c>
      <c r="R42" s="73">
        <v>0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18" customHeight="1" x14ac:dyDescent="0.25">
      <c r="A43" s="1">
        <v>379</v>
      </c>
      <c r="B43" s="1" t="s">
        <v>14</v>
      </c>
      <c r="C43" s="31" t="s">
        <v>18</v>
      </c>
      <c r="D43" s="1">
        <v>200</v>
      </c>
      <c r="E43" s="2">
        <v>13.95</v>
      </c>
      <c r="F43" s="2">
        <v>3.6</v>
      </c>
      <c r="G43" s="2">
        <v>2.7</v>
      </c>
      <c r="H43" s="2">
        <v>28.3</v>
      </c>
      <c r="I43" s="2">
        <v>151.80000000000001</v>
      </c>
      <c r="J43" s="27"/>
      <c r="K43" s="2">
        <v>100.3</v>
      </c>
      <c r="L43" s="2">
        <v>11.7</v>
      </c>
      <c r="M43" s="2">
        <v>75</v>
      </c>
      <c r="N43" s="2">
        <v>0.1</v>
      </c>
      <c r="O43" s="73">
        <v>0</v>
      </c>
      <c r="P43" s="2">
        <v>4.7</v>
      </c>
      <c r="Q43" s="2">
        <v>0.1</v>
      </c>
      <c r="R43" s="2">
        <v>1.1000000000000001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ht="18" customHeight="1" x14ac:dyDescent="0.25">
      <c r="A44" s="81" t="s">
        <v>11</v>
      </c>
      <c r="B44" s="81"/>
      <c r="C44" s="81"/>
      <c r="D44" s="36">
        <v>550</v>
      </c>
      <c r="E44" s="13">
        <f>SUM(E39:E43)</f>
        <v>63.739999999999995</v>
      </c>
      <c r="F44" s="13">
        <v>16.2</v>
      </c>
      <c r="G44" s="13">
        <v>23.299999999999997</v>
      </c>
      <c r="H44" s="13">
        <v>95.5</v>
      </c>
      <c r="I44" s="13">
        <v>656.40000000000009</v>
      </c>
      <c r="J44" s="49"/>
      <c r="K44" s="13">
        <v>311.5</v>
      </c>
      <c r="L44" s="13">
        <v>61.599999999999994</v>
      </c>
      <c r="M44" s="13">
        <v>300.7</v>
      </c>
      <c r="N44" s="13">
        <v>2</v>
      </c>
      <c r="O44" s="13">
        <f>SUM(O39:O43)</f>
        <v>171.875</v>
      </c>
      <c r="P44" s="13">
        <f>SUM(P39:P43)</f>
        <v>4.9550000000000001</v>
      </c>
      <c r="Q44" s="13">
        <f>SUM(Q39:Q43)</f>
        <v>0.67999999999999994</v>
      </c>
      <c r="R44" s="13">
        <f>SUM(R39:R43)</f>
        <v>2.4750000000000001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ht="18" customHeight="1" x14ac:dyDescent="0.25">
      <c r="A45" s="86" t="s">
        <v>12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34" ht="18" customHeight="1" x14ac:dyDescent="0.25">
      <c r="A46" s="87" t="s">
        <v>29</v>
      </c>
      <c r="B46" s="82" t="s">
        <v>0</v>
      </c>
      <c r="C46" s="87" t="s">
        <v>38</v>
      </c>
      <c r="D46" s="82" t="s">
        <v>79</v>
      </c>
      <c r="E46" s="82" t="s">
        <v>2</v>
      </c>
      <c r="F46" s="83" t="s">
        <v>67</v>
      </c>
      <c r="G46" s="83" t="s">
        <v>68</v>
      </c>
      <c r="H46" s="83" t="s">
        <v>69</v>
      </c>
      <c r="I46" s="82" t="s">
        <v>3</v>
      </c>
      <c r="J46" s="15"/>
      <c r="K46" s="8" t="s">
        <v>70</v>
      </c>
      <c r="L46" s="8"/>
      <c r="M46" s="8"/>
      <c r="N46" s="8"/>
      <c r="O46" s="82" t="s">
        <v>71</v>
      </c>
      <c r="P46" s="82"/>
      <c r="Q46" s="82"/>
      <c r="R46" s="82"/>
    </row>
    <row r="47" spans="1:34" ht="15" customHeight="1" x14ac:dyDescent="0.25">
      <c r="A47" s="87"/>
      <c r="B47" s="82"/>
      <c r="C47" s="87"/>
      <c r="D47" s="82"/>
      <c r="E47" s="82"/>
      <c r="F47" s="84"/>
      <c r="G47" s="84"/>
      <c r="H47" s="84"/>
      <c r="I47" s="82"/>
      <c r="J47" s="15"/>
      <c r="K47" s="30" t="s">
        <v>30</v>
      </c>
      <c r="L47" s="24" t="s">
        <v>31</v>
      </c>
      <c r="M47" s="24" t="s">
        <v>32</v>
      </c>
      <c r="N47" s="24" t="s">
        <v>33</v>
      </c>
      <c r="O47" s="24" t="s">
        <v>34</v>
      </c>
      <c r="P47" s="24" t="s">
        <v>77</v>
      </c>
      <c r="Q47" s="24" t="s">
        <v>36</v>
      </c>
      <c r="R47" s="24" t="s">
        <v>37</v>
      </c>
    </row>
    <row r="48" spans="1:34" ht="18" customHeight="1" x14ac:dyDescent="0.25">
      <c r="A48" s="28">
        <v>71</v>
      </c>
      <c r="B48" s="1" t="s">
        <v>7</v>
      </c>
      <c r="C48" s="5" t="s">
        <v>88</v>
      </c>
      <c r="D48" s="1">
        <v>100</v>
      </c>
      <c r="E48" s="1">
        <v>15.78</v>
      </c>
      <c r="F48" s="67">
        <v>0.8</v>
      </c>
      <c r="G48" s="67">
        <v>0</v>
      </c>
      <c r="H48" s="67">
        <v>3.3</v>
      </c>
      <c r="I48" s="2">
        <v>16</v>
      </c>
      <c r="J48" s="49"/>
      <c r="K48" s="2">
        <v>23</v>
      </c>
      <c r="L48" s="2">
        <v>0</v>
      </c>
      <c r="M48" s="2">
        <v>0</v>
      </c>
      <c r="N48" s="2">
        <v>0.5</v>
      </c>
      <c r="O48" s="2">
        <v>0</v>
      </c>
      <c r="P48" s="2">
        <v>0</v>
      </c>
      <c r="Q48" s="2">
        <v>0</v>
      </c>
      <c r="R48" s="2">
        <v>5</v>
      </c>
    </row>
    <row r="49" spans="1:18" ht="26.45" customHeight="1" x14ac:dyDescent="0.25">
      <c r="A49" s="1">
        <v>82</v>
      </c>
      <c r="B49" s="1" t="s">
        <v>8</v>
      </c>
      <c r="C49" s="4" t="s">
        <v>116</v>
      </c>
      <c r="D49" s="1">
        <v>250</v>
      </c>
      <c r="E49" s="2">
        <v>11.71</v>
      </c>
      <c r="F49" s="2">
        <v>1.8</v>
      </c>
      <c r="G49" s="2">
        <v>4.9000000000000004</v>
      </c>
      <c r="H49" s="2">
        <v>15.2</v>
      </c>
      <c r="I49" s="2">
        <v>112.3</v>
      </c>
      <c r="J49" s="49"/>
      <c r="K49" s="2">
        <v>85.9</v>
      </c>
      <c r="L49" s="2">
        <v>10.6</v>
      </c>
      <c r="M49" s="2">
        <v>21.8</v>
      </c>
      <c r="N49" s="2">
        <v>0.9</v>
      </c>
      <c r="O49" s="2">
        <v>1</v>
      </c>
      <c r="P49" s="2">
        <v>5</v>
      </c>
      <c r="Q49" s="2">
        <v>0.3</v>
      </c>
      <c r="R49" s="2">
        <v>12.9</v>
      </c>
    </row>
    <row r="50" spans="1:18" ht="18" customHeight="1" x14ac:dyDescent="0.25">
      <c r="A50" s="1">
        <v>234</v>
      </c>
      <c r="B50" s="1" t="s">
        <v>9</v>
      </c>
      <c r="C50" s="6" t="s">
        <v>58</v>
      </c>
      <c r="D50" s="32" t="s">
        <v>110</v>
      </c>
      <c r="E50" s="1">
        <v>33.58</v>
      </c>
      <c r="F50" s="2">
        <v>14.8</v>
      </c>
      <c r="G50" s="2">
        <v>18.8</v>
      </c>
      <c r="H50" s="2">
        <v>11.6</v>
      </c>
      <c r="I50" s="2">
        <v>274</v>
      </c>
      <c r="J50" s="69"/>
      <c r="K50" s="2">
        <v>139.30000000000001</v>
      </c>
      <c r="L50" s="2">
        <v>0</v>
      </c>
      <c r="M50" s="2">
        <v>0</v>
      </c>
      <c r="N50" s="2">
        <v>1</v>
      </c>
      <c r="O50" s="2">
        <v>0</v>
      </c>
      <c r="P50" s="2">
        <v>0.2</v>
      </c>
      <c r="Q50" s="2">
        <v>0</v>
      </c>
      <c r="R50" s="2">
        <v>6.8</v>
      </c>
    </row>
    <row r="51" spans="1:18" ht="18" customHeight="1" x14ac:dyDescent="0.25">
      <c r="A51" s="1">
        <v>304</v>
      </c>
      <c r="B51" s="1" t="s">
        <v>13</v>
      </c>
      <c r="C51" s="27" t="s">
        <v>64</v>
      </c>
      <c r="D51" s="32">
        <v>180</v>
      </c>
      <c r="E51" s="1">
        <v>18.02</v>
      </c>
      <c r="F51" s="2">
        <f>5.1*180/200</f>
        <v>4.59</v>
      </c>
      <c r="G51" s="2">
        <f>8.1*180/200</f>
        <v>7.29</v>
      </c>
      <c r="H51" s="2">
        <f>55.2*180/200</f>
        <v>49.68</v>
      </c>
      <c r="I51" s="2">
        <f>314.3*180/200</f>
        <v>282.87</v>
      </c>
      <c r="J51" s="69"/>
      <c r="K51" s="2">
        <f>187.7*180/200</f>
        <v>168.93</v>
      </c>
      <c r="L51" s="2">
        <f>153.6*180/200</f>
        <v>138.24</v>
      </c>
      <c r="M51" s="2">
        <f>522.8*180/200</f>
        <v>470.51999999999992</v>
      </c>
      <c r="N51" s="2">
        <f>4.8*180/200</f>
        <v>4.32</v>
      </c>
      <c r="O51" s="2">
        <v>0</v>
      </c>
      <c r="P51" s="2">
        <f>57.1*180/200</f>
        <v>51.39</v>
      </c>
      <c r="Q51" s="2">
        <f>6*180/200</f>
        <v>5.4</v>
      </c>
      <c r="R51" s="55">
        <v>0</v>
      </c>
    </row>
    <row r="52" spans="1:18" ht="18" customHeight="1" x14ac:dyDescent="0.25">
      <c r="A52" s="1"/>
      <c r="B52" s="1" t="s">
        <v>14</v>
      </c>
      <c r="C52" s="4" t="s">
        <v>66</v>
      </c>
      <c r="D52" s="1">
        <v>200</v>
      </c>
      <c r="E52" s="2">
        <v>12</v>
      </c>
      <c r="F52" s="2">
        <v>0.2</v>
      </c>
      <c r="G52" s="2">
        <v>0</v>
      </c>
      <c r="H52" s="2">
        <v>3.9</v>
      </c>
      <c r="I52" s="2">
        <v>16</v>
      </c>
      <c r="J52" s="69"/>
      <c r="K52" s="2">
        <v>0.24</v>
      </c>
      <c r="L52" s="2">
        <v>0.2</v>
      </c>
      <c r="M52" s="2">
        <v>0.5</v>
      </c>
      <c r="N52" s="2">
        <v>7</v>
      </c>
      <c r="O52" s="2">
        <v>0</v>
      </c>
      <c r="P52" s="2">
        <v>0.1</v>
      </c>
      <c r="Q52" s="2">
        <v>0</v>
      </c>
      <c r="R52" s="2">
        <v>6</v>
      </c>
    </row>
    <row r="53" spans="1:18" ht="18" customHeight="1" x14ac:dyDescent="0.25">
      <c r="A53" s="1"/>
      <c r="B53" s="1" t="s">
        <v>15</v>
      </c>
      <c r="C53" s="4" t="s">
        <v>95</v>
      </c>
      <c r="D53" s="32">
        <v>40</v>
      </c>
      <c r="E53" s="2">
        <v>2.93</v>
      </c>
      <c r="F53" s="2">
        <v>2.2400000000000002</v>
      </c>
      <c r="G53" s="2">
        <v>0.44000000000000006</v>
      </c>
      <c r="H53" s="2">
        <v>19.759999999999998</v>
      </c>
      <c r="I53" s="2">
        <v>91.960000000000008</v>
      </c>
      <c r="J53" s="69"/>
      <c r="K53" s="2">
        <v>9.1999999999999993</v>
      </c>
      <c r="L53" s="2">
        <v>10</v>
      </c>
      <c r="M53" s="2">
        <v>42.4</v>
      </c>
      <c r="N53" s="2">
        <v>1.24</v>
      </c>
      <c r="O53" s="2">
        <v>0</v>
      </c>
      <c r="P53" s="2">
        <v>0.04</v>
      </c>
      <c r="Q53" s="2">
        <v>0</v>
      </c>
      <c r="R53" s="2">
        <v>0</v>
      </c>
    </row>
    <row r="54" spans="1:18" ht="18" customHeight="1" x14ac:dyDescent="0.25">
      <c r="A54" s="1"/>
      <c r="B54" s="1" t="s">
        <v>78</v>
      </c>
      <c r="C54" s="27" t="s">
        <v>80</v>
      </c>
      <c r="D54" s="32">
        <v>70</v>
      </c>
      <c r="E54" s="35">
        <v>5.13</v>
      </c>
      <c r="F54" s="2">
        <v>5.53</v>
      </c>
      <c r="G54" s="2">
        <v>0.7</v>
      </c>
      <c r="H54" s="2">
        <v>33.81</v>
      </c>
      <c r="I54" s="2">
        <v>163.66</v>
      </c>
      <c r="J54" s="49"/>
      <c r="K54" s="2">
        <v>16.100000000000001</v>
      </c>
      <c r="L54" s="2">
        <v>23.1</v>
      </c>
      <c r="M54" s="2">
        <v>60.9</v>
      </c>
      <c r="N54" s="2">
        <v>0.77</v>
      </c>
      <c r="O54" s="2">
        <v>0</v>
      </c>
      <c r="P54" s="2">
        <v>7.0000000000000007E-2</v>
      </c>
      <c r="Q54" s="2">
        <v>0</v>
      </c>
      <c r="R54" s="2">
        <v>0</v>
      </c>
    </row>
    <row r="55" spans="1:18" ht="18" customHeight="1" x14ac:dyDescent="0.25">
      <c r="A55" s="1">
        <v>386</v>
      </c>
      <c r="B55" s="1" t="s">
        <v>91</v>
      </c>
      <c r="C55" s="27" t="s">
        <v>93</v>
      </c>
      <c r="D55" s="1">
        <v>100</v>
      </c>
      <c r="E55" s="2">
        <v>11.33</v>
      </c>
      <c r="F55" s="2">
        <v>2.7</v>
      </c>
      <c r="G55" s="2">
        <v>2.5</v>
      </c>
      <c r="H55" s="2">
        <v>10.8</v>
      </c>
      <c r="I55" s="2">
        <v>79</v>
      </c>
      <c r="J55" s="49"/>
      <c r="K55" s="2">
        <v>121</v>
      </c>
      <c r="L55" s="2">
        <v>15</v>
      </c>
      <c r="M55" s="2">
        <v>94</v>
      </c>
      <c r="N55" s="2">
        <v>0.1</v>
      </c>
      <c r="O55" s="2">
        <v>20</v>
      </c>
      <c r="P55" s="2">
        <v>4.4999999999999998E-2</v>
      </c>
      <c r="Q55" s="2">
        <v>0.1</v>
      </c>
      <c r="R55" s="2">
        <v>0.9</v>
      </c>
    </row>
    <row r="56" spans="1:18" ht="18" customHeight="1" x14ac:dyDescent="0.25">
      <c r="A56" s="81" t="s">
        <v>11</v>
      </c>
      <c r="B56" s="81"/>
      <c r="C56" s="81"/>
      <c r="D56" s="36">
        <v>1045</v>
      </c>
      <c r="E56" s="36">
        <f t="shared" ref="E56:R56" si="4">SUM(E48:E55)</f>
        <v>110.48</v>
      </c>
      <c r="F56" s="70">
        <f t="shared" si="4"/>
        <v>32.660000000000004</v>
      </c>
      <c r="G56" s="70">
        <f t="shared" si="4"/>
        <v>34.630000000000003</v>
      </c>
      <c r="H56" s="70">
        <f t="shared" si="4"/>
        <v>148.05000000000001</v>
      </c>
      <c r="I56" s="70">
        <f t="shared" si="4"/>
        <v>1035.79</v>
      </c>
      <c r="J56" s="70">
        <f t="shared" si="4"/>
        <v>0</v>
      </c>
      <c r="K56" s="70">
        <f t="shared" si="4"/>
        <v>563.67000000000007</v>
      </c>
      <c r="L56" s="70">
        <f t="shared" si="4"/>
        <v>197.14</v>
      </c>
      <c r="M56" s="70">
        <f t="shared" si="4"/>
        <v>690.11999999999989</v>
      </c>
      <c r="N56" s="70">
        <f t="shared" si="4"/>
        <v>15.83</v>
      </c>
      <c r="O56" s="70">
        <f t="shared" si="4"/>
        <v>21</v>
      </c>
      <c r="P56" s="70">
        <f t="shared" si="4"/>
        <v>56.845000000000006</v>
      </c>
      <c r="Q56" s="70">
        <f t="shared" si="4"/>
        <v>5.8</v>
      </c>
      <c r="R56" s="70">
        <f t="shared" si="4"/>
        <v>31.599999999999998</v>
      </c>
    </row>
    <row r="57" spans="1:18" ht="18" customHeight="1" x14ac:dyDescent="0.25">
      <c r="A57" s="85" t="s">
        <v>17</v>
      </c>
      <c r="B57" s="85"/>
      <c r="C57" s="85"/>
      <c r="D57" s="85"/>
      <c r="E57" s="13">
        <f>E44+E56</f>
        <v>174.22</v>
      </c>
      <c r="F57" s="13">
        <f>F44+F56</f>
        <v>48.86</v>
      </c>
      <c r="G57" s="13">
        <f>G44+G56</f>
        <v>57.93</v>
      </c>
      <c r="H57" s="13">
        <f>H44+H56</f>
        <v>243.55</v>
      </c>
      <c r="I57" s="13">
        <f>I44+I56</f>
        <v>1692.19</v>
      </c>
      <c r="J57" s="49"/>
      <c r="K57" s="13">
        <f t="shared" ref="K57:R57" si="5">K44+K56</f>
        <v>875.17000000000007</v>
      </c>
      <c r="L57" s="13">
        <f t="shared" si="5"/>
        <v>258.74</v>
      </c>
      <c r="M57" s="13">
        <f t="shared" si="5"/>
        <v>990.81999999999994</v>
      </c>
      <c r="N57" s="13">
        <f t="shared" si="5"/>
        <v>17.829999999999998</v>
      </c>
      <c r="O57" s="13">
        <f t="shared" si="5"/>
        <v>192.875</v>
      </c>
      <c r="P57" s="13">
        <f t="shared" si="5"/>
        <v>61.800000000000004</v>
      </c>
      <c r="Q57" s="13">
        <f t="shared" si="5"/>
        <v>6.4799999999999995</v>
      </c>
      <c r="R57" s="13">
        <f t="shared" si="5"/>
        <v>34.074999999999996</v>
      </c>
    </row>
    <row r="58" spans="1:18" ht="15" customHeight="1" x14ac:dyDescent="0.25">
      <c r="A58" s="16"/>
      <c r="B58" s="16"/>
      <c r="C58" s="16"/>
      <c r="D58" s="16"/>
      <c r="E58" s="17"/>
      <c r="F58" s="18"/>
      <c r="G58" s="18"/>
      <c r="H58" s="18"/>
      <c r="I58" s="18"/>
      <c r="J58" s="20"/>
      <c r="K58" s="18"/>
      <c r="L58" s="17"/>
      <c r="M58" s="18"/>
      <c r="N58" s="18"/>
      <c r="O58" s="18"/>
      <c r="P58" s="17"/>
      <c r="Q58" s="17"/>
      <c r="R58" s="17"/>
    </row>
    <row r="59" spans="1:18" ht="15" customHeight="1" x14ac:dyDescent="0.25">
      <c r="A59" s="16"/>
      <c r="B59" s="16"/>
      <c r="C59" s="16"/>
      <c r="D59" s="16"/>
      <c r="E59" s="17"/>
      <c r="F59" s="18"/>
      <c r="G59" s="18"/>
      <c r="H59" s="18"/>
      <c r="I59" s="18"/>
      <c r="J59" s="20"/>
      <c r="K59" s="18"/>
      <c r="L59" s="17"/>
      <c r="M59" s="18"/>
      <c r="N59" s="18"/>
      <c r="O59" s="18"/>
      <c r="P59" s="17"/>
      <c r="Q59" s="17"/>
      <c r="R59" s="17"/>
    </row>
    <row r="60" spans="1:18" ht="15" customHeight="1" x14ac:dyDescent="0.25">
      <c r="A60" s="16"/>
      <c r="B60" s="16"/>
      <c r="C60" s="16"/>
      <c r="D60" s="16"/>
      <c r="E60" s="17"/>
      <c r="F60" s="18"/>
      <c r="G60" s="18"/>
      <c r="H60" s="18"/>
      <c r="I60" s="18"/>
      <c r="J60" s="20"/>
      <c r="K60" s="18"/>
      <c r="L60" s="17"/>
      <c r="M60" s="18"/>
      <c r="N60" s="18"/>
      <c r="O60" s="18"/>
      <c r="P60" s="17"/>
      <c r="Q60" s="17"/>
      <c r="R60" s="17"/>
    </row>
    <row r="61" spans="1:18" ht="15" customHeight="1" x14ac:dyDescent="0.25">
      <c r="A61" s="16"/>
      <c r="B61" s="16"/>
      <c r="C61" s="16"/>
      <c r="D61" s="16"/>
      <c r="E61" s="17"/>
      <c r="F61" s="18"/>
      <c r="G61" s="18"/>
      <c r="H61" s="18"/>
      <c r="I61" s="18"/>
      <c r="J61" s="20"/>
      <c r="K61" s="18"/>
      <c r="L61" s="17"/>
      <c r="M61" s="18"/>
      <c r="N61" s="18"/>
      <c r="O61" s="18"/>
      <c r="P61" s="17"/>
      <c r="Q61" s="17"/>
      <c r="R61" s="17"/>
    </row>
    <row r="62" spans="1:18" ht="15" customHeight="1" x14ac:dyDescent="0.25">
      <c r="A62" s="16"/>
      <c r="B62" s="16"/>
      <c r="C62" s="16"/>
      <c r="D62" s="16"/>
      <c r="E62" s="17"/>
      <c r="F62" s="18"/>
      <c r="G62" s="18"/>
      <c r="H62" s="18"/>
      <c r="I62" s="18"/>
      <c r="J62" s="20"/>
      <c r="K62" s="18"/>
      <c r="L62" s="17"/>
      <c r="M62" s="18"/>
      <c r="N62" s="18"/>
      <c r="O62" s="18"/>
      <c r="P62" s="17"/>
      <c r="Q62" s="17"/>
      <c r="R62" s="17"/>
    </row>
    <row r="63" spans="1:18" ht="15" customHeight="1" x14ac:dyDescent="0.25">
      <c r="A63" s="16"/>
      <c r="B63" s="16"/>
      <c r="C63" s="16"/>
      <c r="D63" s="16"/>
      <c r="E63" s="17"/>
      <c r="F63" s="18"/>
      <c r="G63" s="18"/>
      <c r="H63" s="18"/>
      <c r="I63" s="18"/>
      <c r="J63" s="20"/>
      <c r="K63" s="18"/>
      <c r="L63" s="17"/>
      <c r="M63" s="18"/>
      <c r="N63" s="18"/>
      <c r="O63" s="18"/>
      <c r="P63" s="17"/>
      <c r="Q63" s="17"/>
      <c r="R63" s="17"/>
    </row>
    <row r="64" spans="1:18" ht="15" customHeight="1" x14ac:dyDescent="0.25">
      <c r="A64" s="16"/>
      <c r="B64" s="16"/>
      <c r="C64" s="16"/>
      <c r="D64" s="16"/>
      <c r="E64" s="17"/>
      <c r="F64" s="18"/>
      <c r="G64" s="18"/>
      <c r="H64" s="18"/>
      <c r="I64" s="18"/>
      <c r="J64" s="20"/>
      <c r="K64" s="18"/>
      <c r="L64" s="17"/>
      <c r="M64" s="18"/>
      <c r="N64" s="18"/>
      <c r="O64" s="18"/>
      <c r="P64" s="17"/>
      <c r="Q64" s="17"/>
      <c r="R64" s="17"/>
    </row>
    <row r="65" spans="1:18" ht="15" customHeight="1" x14ac:dyDescent="0.25">
      <c r="A65" s="16"/>
      <c r="B65" s="16"/>
      <c r="C65" s="16"/>
      <c r="D65" s="16"/>
      <c r="E65" s="17"/>
      <c r="F65" s="18"/>
      <c r="G65" s="18"/>
      <c r="H65" s="18"/>
      <c r="I65" s="18"/>
      <c r="J65" s="20"/>
      <c r="K65" s="18"/>
      <c r="L65" s="17"/>
      <c r="M65" s="18"/>
      <c r="N65" s="18"/>
      <c r="O65" s="18"/>
      <c r="P65" s="17"/>
      <c r="Q65" s="17"/>
      <c r="R65" s="17"/>
    </row>
    <row r="66" spans="1:18" ht="18" customHeight="1" x14ac:dyDescent="0.25">
      <c r="A66" s="89" t="s">
        <v>84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1"/>
    </row>
    <row r="67" spans="1:18" ht="18" customHeight="1" x14ac:dyDescent="0.25">
      <c r="A67" s="86" t="s">
        <v>4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1:18" ht="18" customHeight="1" x14ac:dyDescent="0.25">
      <c r="A68" s="83" t="s">
        <v>29</v>
      </c>
      <c r="B68" s="96" t="s">
        <v>0</v>
      </c>
      <c r="C68" s="83" t="s">
        <v>38</v>
      </c>
      <c r="D68" s="96" t="s">
        <v>82</v>
      </c>
      <c r="E68" s="96" t="s">
        <v>2</v>
      </c>
      <c r="F68" s="83" t="s">
        <v>67</v>
      </c>
      <c r="G68" s="83" t="s">
        <v>68</v>
      </c>
      <c r="H68" s="83" t="s">
        <v>69</v>
      </c>
      <c r="I68" s="96" t="s">
        <v>3</v>
      </c>
      <c r="J68" s="15"/>
      <c r="K68" s="8" t="s">
        <v>70</v>
      </c>
      <c r="L68" s="8"/>
      <c r="M68" s="8"/>
      <c r="N68" s="8"/>
      <c r="O68" s="114" t="s">
        <v>71</v>
      </c>
      <c r="P68" s="115"/>
      <c r="Q68" s="115"/>
      <c r="R68" s="116"/>
    </row>
    <row r="69" spans="1:18" ht="15" customHeight="1" x14ac:dyDescent="0.25">
      <c r="A69" s="84"/>
      <c r="B69" s="97"/>
      <c r="C69" s="84"/>
      <c r="D69" s="97"/>
      <c r="E69" s="97"/>
      <c r="F69" s="84"/>
      <c r="G69" s="84"/>
      <c r="H69" s="84"/>
      <c r="I69" s="97"/>
      <c r="J69" s="15"/>
      <c r="K69" s="30" t="s">
        <v>30</v>
      </c>
      <c r="L69" s="24" t="s">
        <v>31</v>
      </c>
      <c r="M69" s="24" t="s">
        <v>32</v>
      </c>
      <c r="N69" s="24" t="s">
        <v>33</v>
      </c>
      <c r="O69" s="24" t="s">
        <v>34</v>
      </c>
      <c r="P69" s="24" t="s">
        <v>77</v>
      </c>
      <c r="Q69" s="24" t="s">
        <v>36</v>
      </c>
      <c r="R69" s="24" t="s">
        <v>37</v>
      </c>
    </row>
    <row r="70" spans="1:18" ht="17.45" customHeight="1" x14ac:dyDescent="0.25">
      <c r="A70" s="1">
        <v>219</v>
      </c>
      <c r="B70" s="1" t="s">
        <v>7</v>
      </c>
      <c r="C70" s="45" t="s">
        <v>53</v>
      </c>
      <c r="D70" s="32" t="s">
        <v>127</v>
      </c>
      <c r="E70" s="2">
        <v>96.66</v>
      </c>
      <c r="F70" s="2">
        <v>33.94</v>
      </c>
      <c r="G70" s="2">
        <v>28.19</v>
      </c>
      <c r="H70" s="2">
        <v>53.88</v>
      </c>
      <c r="I70" s="2">
        <v>606.57000000000005</v>
      </c>
      <c r="J70" s="49"/>
      <c r="K70" s="2">
        <v>442.2</v>
      </c>
      <c r="L70" s="2">
        <v>57.64</v>
      </c>
      <c r="M70" s="2">
        <v>493.05</v>
      </c>
      <c r="N70" s="2">
        <v>1.19</v>
      </c>
      <c r="O70" s="2">
        <v>115.97</v>
      </c>
      <c r="P70" s="2">
        <v>0.06</v>
      </c>
      <c r="Q70" s="2">
        <v>0.45</v>
      </c>
      <c r="R70" s="2">
        <v>1.04</v>
      </c>
    </row>
    <row r="71" spans="1:18" ht="17.45" customHeight="1" x14ac:dyDescent="0.25">
      <c r="A71" s="1">
        <v>376</v>
      </c>
      <c r="B71" s="1" t="s">
        <v>8</v>
      </c>
      <c r="C71" s="27" t="s">
        <v>16</v>
      </c>
      <c r="D71" s="1">
        <v>200</v>
      </c>
      <c r="E71" s="2">
        <v>1.88</v>
      </c>
      <c r="F71" s="2">
        <v>0.1</v>
      </c>
      <c r="G71" s="2">
        <v>0</v>
      </c>
      <c r="H71" s="2">
        <v>15</v>
      </c>
      <c r="I71" s="2">
        <v>60</v>
      </c>
      <c r="J71" s="49"/>
      <c r="K71" s="2">
        <v>5</v>
      </c>
      <c r="L71" s="2">
        <v>0</v>
      </c>
      <c r="M71" s="2">
        <v>0</v>
      </c>
      <c r="N71" s="2">
        <v>2</v>
      </c>
      <c r="O71" s="73">
        <v>0</v>
      </c>
      <c r="P71" s="73">
        <v>0</v>
      </c>
      <c r="Q71" s="73">
        <v>0</v>
      </c>
      <c r="R71" s="73">
        <v>0</v>
      </c>
    </row>
    <row r="72" spans="1:18" ht="18" customHeight="1" x14ac:dyDescent="0.25">
      <c r="A72" s="59"/>
      <c r="B72" s="32" t="s">
        <v>9</v>
      </c>
      <c r="C72" s="31" t="s">
        <v>132</v>
      </c>
      <c r="D72" s="32">
        <v>150</v>
      </c>
      <c r="E72" s="35">
        <v>43.5</v>
      </c>
      <c r="F72" s="66">
        <v>1.22</v>
      </c>
      <c r="G72" s="62">
        <v>0.63</v>
      </c>
      <c r="H72" s="66">
        <v>12.8</v>
      </c>
      <c r="I72" s="35">
        <v>74.3</v>
      </c>
      <c r="J72" s="68"/>
      <c r="K72" s="35">
        <v>63.2</v>
      </c>
      <c r="L72" s="35">
        <v>39.5</v>
      </c>
      <c r="M72" s="35">
        <v>53.72</v>
      </c>
      <c r="N72" s="35">
        <v>1.26</v>
      </c>
      <c r="O72" s="35">
        <v>23.7</v>
      </c>
      <c r="P72" s="35">
        <v>3.2000000000000001E-2</v>
      </c>
      <c r="Q72" s="35">
        <v>0</v>
      </c>
      <c r="R72" s="35">
        <v>284.39999999999998</v>
      </c>
    </row>
    <row r="73" spans="1:18" ht="18" customHeight="1" x14ac:dyDescent="0.25">
      <c r="A73" s="117" t="s">
        <v>11</v>
      </c>
      <c r="B73" s="118"/>
      <c r="C73" s="119"/>
      <c r="D73" s="36">
        <v>570</v>
      </c>
      <c r="E73" s="13">
        <f t="shared" ref="E73:R73" si="6">SUM(E70:E72)</f>
        <v>142.04</v>
      </c>
      <c r="F73" s="13">
        <f t="shared" si="6"/>
        <v>35.26</v>
      </c>
      <c r="G73" s="13">
        <f t="shared" si="6"/>
        <v>28.82</v>
      </c>
      <c r="H73" s="13">
        <f t="shared" si="6"/>
        <v>81.679999999999993</v>
      </c>
      <c r="I73" s="13">
        <f t="shared" si="6"/>
        <v>740.87</v>
      </c>
      <c r="J73" s="13">
        <f t="shared" si="6"/>
        <v>0</v>
      </c>
      <c r="K73" s="13">
        <f t="shared" si="6"/>
        <v>510.4</v>
      </c>
      <c r="L73" s="13">
        <f t="shared" si="6"/>
        <v>97.14</v>
      </c>
      <c r="M73" s="13">
        <f t="shared" si="6"/>
        <v>546.77</v>
      </c>
      <c r="N73" s="13">
        <f t="shared" si="6"/>
        <v>4.45</v>
      </c>
      <c r="O73" s="13">
        <f t="shared" si="6"/>
        <v>139.66999999999999</v>
      </c>
      <c r="P73" s="13">
        <f t="shared" si="6"/>
        <v>9.1999999999999998E-2</v>
      </c>
      <c r="Q73" s="13">
        <f t="shared" si="6"/>
        <v>0.45</v>
      </c>
      <c r="R73" s="13">
        <f t="shared" si="6"/>
        <v>285.44</v>
      </c>
    </row>
    <row r="74" spans="1:18" ht="18" customHeight="1" x14ac:dyDescent="0.25">
      <c r="A74" s="86" t="s">
        <v>12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92"/>
    </row>
    <row r="75" spans="1:18" ht="18" customHeight="1" x14ac:dyDescent="0.25">
      <c r="A75" s="87" t="s">
        <v>29</v>
      </c>
      <c r="B75" s="82" t="s">
        <v>0</v>
      </c>
      <c r="C75" s="87" t="s">
        <v>38</v>
      </c>
      <c r="D75" s="82" t="s">
        <v>82</v>
      </c>
      <c r="E75" s="82" t="s">
        <v>2</v>
      </c>
      <c r="F75" s="83" t="s">
        <v>67</v>
      </c>
      <c r="G75" s="83" t="s">
        <v>68</v>
      </c>
      <c r="H75" s="83" t="s">
        <v>69</v>
      </c>
      <c r="I75" s="82" t="s">
        <v>3</v>
      </c>
      <c r="J75" s="15"/>
      <c r="K75" s="8" t="s">
        <v>70</v>
      </c>
      <c r="L75" s="8"/>
      <c r="M75" s="8"/>
      <c r="N75" s="8"/>
      <c r="O75" s="82" t="s">
        <v>71</v>
      </c>
      <c r="P75" s="82"/>
      <c r="Q75" s="82"/>
      <c r="R75" s="82"/>
    </row>
    <row r="76" spans="1:18" ht="15" customHeight="1" x14ac:dyDescent="0.25">
      <c r="A76" s="87"/>
      <c r="B76" s="82"/>
      <c r="C76" s="87"/>
      <c r="D76" s="82"/>
      <c r="E76" s="82"/>
      <c r="F76" s="84"/>
      <c r="G76" s="84"/>
      <c r="H76" s="84"/>
      <c r="I76" s="82"/>
      <c r="J76" s="15"/>
      <c r="K76" s="30" t="s">
        <v>30</v>
      </c>
      <c r="L76" s="24" t="s">
        <v>31</v>
      </c>
      <c r="M76" s="24" t="s">
        <v>32</v>
      </c>
      <c r="N76" s="24" t="s">
        <v>33</v>
      </c>
      <c r="O76" s="24" t="s">
        <v>75</v>
      </c>
      <c r="P76" s="24" t="s">
        <v>35</v>
      </c>
      <c r="Q76" s="24" t="s">
        <v>36</v>
      </c>
      <c r="R76" s="24" t="s">
        <v>37</v>
      </c>
    </row>
    <row r="77" spans="1:18" ht="18" customHeight="1" x14ac:dyDescent="0.25">
      <c r="A77" s="28">
        <v>52</v>
      </c>
      <c r="B77" s="1" t="s">
        <v>7</v>
      </c>
      <c r="C77" s="5" t="s">
        <v>89</v>
      </c>
      <c r="D77" s="1">
        <v>100</v>
      </c>
      <c r="E77" s="2">
        <v>8.3699999999999992</v>
      </c>
      <c r="F77" s="67">
        <v>1.7</v>
      </c>
      <c r="G77" s="67">
        <v>6</v>
      </c>
      <c r="H77" s="67">
        <v>11</v>
      </c>
      <c r="I77" s="2">
        <v>104</v>
      </c>
      <c r="J77" s="2"/>
      <c r="K77" s="2">
        <v>35.200000000000003</v>
      </c>
      <c r="L77" s="2">
        <v>20.8</v>
      </c>
      <c r="M77" s="2">
        <v>41</v>
      </c>
      <c r="N77" s="2">
        <v>1.3</v>
      </c>
      <c r="O77" s="2">
        <v>0</v>
      </c>
      <c r="P77" s="2">
        <v>0</v>
      </c>
      <c r="Q77" s="2">
        <v>0.2</v>
      </c>
      <c r="R77" s="2">
        <v>9.5</v>
      </c>
    </row>
    <row r="78" spans="1:18" ht="27" customHeight="1" x14ac:dyDescent="0.25">
      <c r="A78" s="75">
        <v>103</v>
      </c>
      <c r="B78" s="75" t="s">
        <v>8</v>
      </c>
      <c r="C78" s="76" t="s">
        <v>56</v>
      </c>
      <c r="D78" s="47">
        <v>250</v>
      </c>
      <c r="E78" s="53">
        <v>8.08</v>
      </c>
      <c r="F78" s="53">
        <f>2.15*250/200</f>
        <v>2.6875</v>
      </c>
      <c r="G78" s="53">
        <f>2.27*250/200</f>
        <v>2.8374999999999999</v>
      </c>
      <c r="H78" s="53">
        <f>13.96*250/200</f>
        <v>17.45</v>
      </c>
      <c r="I78" s="53">
        <f>94.6*250/200</f>
        <v>118.25</v>
      </c>
      <c r="J78" s="77"/>
      <c r="K78" s="53">
        <f>23.36*250/200</f>
        <v>29.2</v>
      </c>
      <c r="L78" s="53">
        <v>21.82</v>
      </c>
      <c r="M78" s="53">
        <f>54.06*250/200</f>
        <v>67.575000000000003</v>
      </c>
      <c r="N78" s="53">
        <f>0.9*250/200</f>
        <v>1.125</v>
      </c>
      <c r="O78" s="53">
        <v>0</v>
      </c>
      <c r="P78" s="53">
        <f>0.09*250/200</f>
        <v>0.1125</v>
      </c>
      <c r="Q78" s="53">
        <f>0.946*250/200</f>
        <v>1.1825000000000001</v>
      </c>
      <c r="R78" s="53">
        <f>6.6*250/200</f>
        <v>8.25</v>
      </c>
    </row>
    <row r="79" spans="1:18" ht="18" customHeight="1" x14ac:dyDescent="0.25">
      <c r="A79" s="1">
        <v>289</v>
      </c>
      <c r="B79" s="1" t="s">
        <v>9</v>
      </c>
      <c r="C79" s="5" t="s">
        <v>113</v>
      </c>
      <c r="D79" s="1" t="s">
        <v>114</v>
      </c>
      <c r="E79" s="2">
        <v>64.41</v>
      </c>
      <c r="F79" s="2">
        <v>22.6</v>
      </c>
      <c r="G79" s="2">
        <v>28.6</v>
      </c>
      <c r="H79" s="2">
        <v>29.4</v>
      </c>
      <c r="I79" s="2">
        <v>465.6</v>
      </c>
      <c r="J79" s="2"/>
      <c r="K79" s="2">
        <v>58.9</v>
      </c>
      <c r="L79" s="2">
        <v>62.2</v>
      </c>
      <c r="M79" s="2">
        <v>173.1</v>
      </c>
      <c r="N79" s="2">
        <v>3</v>
      </c>
      <c r="O79" s="2">
        <v>0</v>
      </c>
      <c r="P79" s="2">
        <v>0.3</v>
      </c>
      <c r="Q79" s="2">
        <v>6.7</v>
      </c>
      <c r="R79" s="2">
        <v>18.100000000000001</v>
      </c>
    </row>
    <row r="80" spans="1:18" ht="18" customHeight="1" x14ac:dyDescent="0.25">
      <c r="A80" s="1">
        <v>348</v>
      </c>
      <c r="B80" s="1" t="s">
        <v>13</v>
      </c>
      <c r="C80" s="27" t="s">
        <v>72</v>
      </c>
      <c r="D80" s="1">
        <v>200</v>
      </c>
      <c r="E80" s="1">
        <v>10.97</v>
      </c>
      <c r="F80" s="2">
        <v>0.6</v>
      </c>
      <c r="G80" s="2">
        <v>0</v>
      </c>
      <c r="H80" s="2">
        <v>37</v>
      </c>
      <c r="I80" s="2">
        <v>150.4</v>
      </c>
      <c r="J80" s="69"/>
      <c r="K80" s="2">
        <v>11.2</v>
      </c>
      <c r="L80" s="2">
        <v>0</v>
      </c>
      <c r="M80" s="2">
        <v>0</v>
      </c>
      <c r="N80" s="2">
        <v>0.5</v>
      </c>
      <c r="O80" s="2">
        <v>0</v>
      </c>
      <c r="P80" s="2">
        <v>0</v>
      </c>
      <c r="Q80" s="2">
        <v>0</v>
      </c>
      <c r="R80" s="2">
        <v>0.4</v>
      </c>
    </row>
    <row r="81" spans="1:18" ht="18" customHeight="1" x14ac:dyDescent="0.25">
      <c r="A81" s="1"/>
      <c r="B81" s="1" t="s">
        <v>14</v>
      </c>
      <c r="C81" s="27" t="s">
        <v>95</v>
      </c>
      <c r="D81" s="32">
        <v>40</v>
      </c>
      <c r="E81" s="2">
        <v>2.93</v>
      </c>
      <c r="F81" s="2">
        <v>2.2400000000000002</v>
      </c>
      <c r="G81" s="2">
        <v>0.44000000000000006</v>
      </c>
      <c r="H81" s="2">
        <v>19.759999999999998</v>
      </c>
      <c r="I81" s="2">
        <v>91.960000000000008</v>
      </c>
      <c r="J81" s="69"/>
      <c r="K81" s="2">
        <v>9.1999999999999993</v>
      </c>
      <c r="L81" s="2">
        <v>10</v>
      </c>
      <c r="M81" s="2">
        <v>42.4</v>
      </c>
      <c r="N81" s="2">
        <v>1.24</v>
      </c>
      <c r="O81" s="2">
        <v>0</v>
      </c>
      <c r="P81" s="2">
        <v>0.04</v>
      </c>
      <c r="Q81" s="2">
        <v>0</v>
      </c>
      <c r="R81" s="2">
        <v>0</v>
      </c>
    </row>
    <row r="82" spans="1:18" ht="18" customHeight="1" x14ac:dyDescent="0.25">
      <c r="A82" s="1"/>
      <c r="B82" s="1" t="s">
        <v>15</v>
      </c>
      <c r="C82" s="31" t="s">
        <v>80</v>
      </c>
      <c r="D82" s="32">
        <v>70</v>
      </c>
      <c r="E82" s="35">
        <v>5.13</v>
      </c>
      <c r="F82" s="2">
        <v>5.53</v>
      </c>
      <c r="G82" s="2">
        <v>0.7</v>
      </c>
      <c r="H82" s="2">
        <v>33.81</v>
      </c>
      <c r="I82" s="2">
        <v>163.66</v>
      </c>
      <c r="J82" s="49"/>
      <c r="K82" s="2">
        <v>16.100000000000001</v>
      </c>
      <c r="L82" s="2">
        <v>23.1</v>
      </c>
      <c r="M82" s="2">
        <v>60.9</v>
      </c>
      <c r="N82" s="2">
        <v>0.77</v>
      </c>
      <c r="O82" s="2">
        <v>0</v>
      </c>
      <c r="P82" s="2">
        <v>7.0000000000000007E-2</v>
      </c>
      <c r="Q82" s="2">
        <v>0</v>
      </c>
      <c r="R82" s="2">
        <v>0</v>
      </c>
    </row>
    <row r="83" spans="1:18" ht="18" customHeight="1" x14ac:dyDescent="0.25">
      <c r="A83" s="81" t="s">
        <v>11</v>
      </c>
      <c r="B83" s="81"/>
      <c r="C83" s="81"/>
      <c r="D83" s="24">
        <v>940</v>
      </c>
      <c r="E83" s="24">
        <f t="shared" ref="E83:R83" si="7">SUM(E77:E82)</f>
        <v>99.89</v>
      </c>
      <c r="F83" s="13">
        <f t="shared" si="7"/>
        <v>35.357500000000002</v>
      </c>
      <c r="G83" s="13">
        <f t="shared" si="7"/>
        <v>38.577500000000001</v>
      </c>
      <c r="H83" s="13">
        <f t="shared" si="7"/>
        <v>148.41999999999999</v>
      </c>
      <c r="I83" s="13">
        <f t="shared" si="7"/>
        <v>1093.8700000000001</v>
      </c>
      <c r="J83" s="13">
        <f t="shared" si="7"/>
        <v>0</v>
      </c>
      <c r="K83" s="13">
        <f t="shared" si="7"/>
        <v>159.79999999999998</v>
      </c>
      <c r="L83" s="13">
        <f t="shared" si="7"/>
        <v>137.92000000000002</v>
      </c>
      <c r="M83" s="13">
        <f t="shared" si="7"/>
        <v>384.97499999999997</v>
      </c>
      <c r="N83" s="13">
        <f t="shared" si="7"/>
        <v>7.9350000000000005</v>
      </c>
      <c r="O83" s="13">
        <f t="shared" si="7"/>
        <v>0</v>
      </c>
      <c r="P83" s="13">
        <f t="shared" si="7"/>
        <v>0.52249999999999996</v>
      </c>
      <c r="Q83" s="13">
        <f t="shared" si="7"/>
        <v>8.0824999999999996</v>
      </c>
      <c r="R83" s="13">
        <f t="shared" si="7"/>
        <v>36.25</v>
      </c>
    </row>
    <row r="84" spans="1:18" ht="18" customHeight="1" x14ac:dyDescent="0.25">
      <c r="A84" s="85" t="s">
        <v>17</v>
      </c>
      <c r="B84" s="85"/>
      <c r="C84" s="85"/>
      <c r="D84" s="85"/>
      <c r="E84" s="13">
        <f t="shared" ref="E84:R84" si="8">E73+E83</f>
        <v>241.93</v>
      </c>
      <c r="F84" s="13">
        <f t="shared" si="8"/>
        <v>70.617500000000007</v>
      </c>
      <c r="G84" s="13">
        <f t="shared" si="8"/>
        <v>67.397500000000008</v>
      </c>
      <c r="H84" s="13">
        <f t="shared" si="8"/>
        <v>230.09999999999997</v>
      </c>
      <c r="I84" s="13">
        <f t="shared" si="8"/>
        <v>1834.7400000000002</v>
      </c>
      <c r="J84" s="13">
        <f t="shared" si="8"/>
        <v>0</v>
      </c>
      <c r="K84" s="13">
        <f t="shared" si="8"/>
        <v>670.19999999999993</v>
      </c>
      <c r="L84" s="13">
        <f t="shared" si="8"/>
        <v>235.06</v>
      </c>
      <c r="M84" s="13">
        <f t="shared" si="8"/>
        <v>931.74499999999989</v>
      </c>
      <c r="N84" s="13">
        <f t="shared" si="8"/>
        <v>12.385000000000002</v>
      </c>
      <c r="O84" s="13">
        <f t="shared" si="8"/>
        <v>139.66999999999999</v>
      </c>
      <c r="P84" s="13">
        <f t="shared" si="8"/>
        <v>0.61449999999999994</v>
      </c>
      <c r="Q84" s="13">
        <f t="shared" si="8"/>
        <v>8.5324999999999989</v>
      </c>
      <c r="R84" s="13">
        <f t="shared" si="8"/>
        <v>321.69</v>
      </c>
    </row>
    <row r="85" spans="1:18" x14ac:dyDescent="0.25">
      <c r="A85" s="16"/>
      <c r="B85" s="16"/>
      <c r="C85" s="16"/>
      <c r="D85" s="16"/>
      <c r="E85" s="17"/>
      <c r="F85" s="18"/>
      <c r="G85" s="18"/>
      <c r="H85" s="19"/>
      <c r="I85" s="19"/>
      <c r="J85" s="20"/>
      <c r="K85" s="17"/>
      <c r="L85" s="17"/>
      <c r="M85" s="17"/>
      <c r="N85" s="17"/>
      <c r="O85" s="18"/>
      <c r="P85" s="18"/>
      <c r="Q85" s="17"/>
      <c r="R85" s="18"/>
    </row>
    <row r="86" spans="1:18" x14ac:dyDescent="0.25">
      <c r="A86" s="16"/>
      <c r="B86" s="16"/>
      <c r="C86" s="16"/>
      <c r="D86" s="16"/>
      <c r="E86" s="17"/>
      <c r="F86" s="18"/>
      <c r="G86" s="18"/>
      <c r="H86" s="19"/>
      <c r="I86" s="19"/>
      <c r="J86" s="20"/>
      <c r="K86" s="17"/>
      <c r="L86" s="17"/>
      <c r="M86" s="17"/>
      <c r="N86" s="17"/>
      <c r="O86" s="18"/>
      <c r="P86" s="18"/>
      <c r="Q86" s="17"/>
      <c r="R86" s="18"/>
    </row>
    <row r="87" spans="1:18" x14ac:dyDescent="0.25">
      <c r="A87" s="16"/>
      <c r="B87" s="16"/>
      <c r="C87" s="16"/>
      <c r="D87" s="16"/>
      <c r="E87" s="17"/>
      <c r="F87" s="18"/>
      <c r="G87" s="18"/>
      <c r="H87" s="19"/>
      <c r="I87" s="19"/>
      <c r="J87" s="20"/>
      <c r="K87" s="17"/>
      <c r="L87" s="17"/>
      <c r="M87" s="17"/>
      <c r="N87" s="17"/>
      <c r="O87" s="18"/>
      <c r="P87" s="18"/>
      <c r="Q87" s="17"/>
      <c r="R87" s="18"/>
    </row>
    <row r="88" spans="1:18" x14ac:dyDescent="0.25">
      <c r="A88" s="16"/>
      <c r="B88" s="16"/>
      <c r="C88" s="16"/>
      <c r="D88" s="16"/>
      <c r="E88" s="17"/>
      <c r="F88" s="18"/>
      <c r="G88" s="18"/>
      <c r="H88" s="19"/>
      <c r="I88" s="19"/>
      <c r="J88" s="20"/>
      <c r="K88" s="17"/>
      <c r="L88" s="17"/>
      <c r="M88" s="17"/>
      <c r="N88" s="17"/>
      <c r="O88" s="18"/>
      <c r="P88" s="18"/>
      <c r="Q88" s="17"/>
      <c r="R88" s="18"/>
    </row>
    <row r="89" spans="1:18" x14ac:dyDescent="0.25">
      <c r="A89" s="16"/>
      <c r="B89" s="16"/>
      <c r="C89" s="16"/>
      <c r="D89" s="16"/>
      <c r="E89" s="17"/>
      <c r="F89" s="18"/>
      <c r="G89" s="18"/>
      <c r="H89" s="19"/>
      <c r="I89" s="19"/>
      <c r="J89" s="20"/>
      <c r="K89" s="17"/>
      <c r="L89" s="17"/>
      <c r="M89" s="17"/>
      <c r="N89" s="17"/>
      <c r="O89" s="18"/>
      <c r="P89" s="18"/>
      <c r="Q89" s="17"/>
      <c r="R89" s="18"/>
    </row>
    <row r="90" spans="1:18" ht="18" customHeight="1" x14ac:dyDescent="0.25">
      <c r="A90" s="89" t="s">
        <v>43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1"/>
    </row>
    <row r="91" spans="1:18" ht="18" customHeight="1" x14ac:dyDescent="0.25">
      <c r="A91" s="86" t="s">
        <v>4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1:18" ht="26.45" customHeight="1" x14ac:dyDescent="0.25">
      <c r="A92" s="87" t="s">
        <v>29</v>
      </c>
      <c r="B92" s="82" t="s">
        <v>0</v>
      </c>
      <c r="C92" s="87" t="s">
        <v>38</v>
      </c>
      <c r="D92" s="82" t="s">
        <v>79</v>
      </c>
      <c r="E92" s="82" t="s">
        <v>2</v>
      </c>
      <c r="F92" s="83" t="s">
        <v>67</v>
      </c>
      <c r="G92" s="83" t="s">
        <v>68</v>
      </c>
      <c r="H92" s="83" t="s">
        <v>69</v>
      </c>
      <c r="I92" s="82" t="s">
        <v>3</v>
      </c>
      <c r="J92" s="15"/>
      <c r="K92" s="8" t="s">
        <v>70</v>
      </c>
      <c r="L92" s="8"/>
      <c r="M92" s="8"/>
      <c r="N92" s="8"/>
      <c r="O92" s="82" t="s">
        <v>71</v>
      </c>
      <c r="P92" s="82"/>
      <c r="Q92" s="82"/>
      <c r="R92" s="82"/>
    </row>
    <row r="93" spans="1:18" ht="12.6" customHeight="1" x14ac:dyDescent="0.25">
      <c r="A93" s="87"/>
      <c r="B93" s="82"/>
      <c r="C93" s="87"/>
      <c r="D93" s="82"/>
      <c r="E93" s="82"/>
      <c r="F93" s="84"/>
      <c r="G93" s="84"/>
      <c r="H93" s="84"/>
      <c r="I93" s="82"/>
      <c r="J93" s="15"/>
      <c r="K93" s="30" t="s">
        <v>30</v>
      </c>
      <c r="L93" s="24" t="s">
        <v>31</v>
      </c>
      <c r="M93" s="24" t="s">
        <v>32</v>
      </c>
      <c r="N93" s="24" t="s">
        <v>33</v>
      </c>
      <c r="O93" s="24" t="s">
        <v>34</v>
      </c>
      <c r="P93" s="24" t="s">
        <v>77</v>
      </c>
      <c r="Q93" s="24" t="s">
        <v>36</v>
      </c>
      <c r="R93" s="24" t="s">
        <v>37</v>
      </c>
    </row>
    <row r="94" spans="1:18" ht="26.45" customHeight="1" x14ac:dyDescent="0.25">
      <c r="A94" s="28">
        <v>173</v>
      </c>
      <c r="B94" s="1" t="s">
        <v>7</v>
      </c>
      <c r="C94" s="44" t="s">
        <v>111</v>
      </c>
      <c r="D94" s="1" t="s">
        <v>90</v>
      </c>
      <c r="E94" s="35">
        <v>26.7</v>
      </c>
      <c r="F94" s="35">
        <f>6.03*250/210</f>
        <v>7.1785714285714288</v>
      </c>
      <c r="G94" s="35">
        <f>11.51*250/210</f>
        <v>13.702380952380953</v>
      </c>
      <c r="H94" s="35">
        <f>33.31*250/210</f>
        <v>39.654761904761905</v>
      </c>
      <c r="I94" s="35">
        <f>261*250/210</f>
        <v>310.71428571428572</v>
      </c>
      <c r="J94" s="68"/>
      <c r="K94" s="35">
        <f>126.93*250/210</f>
        <v>151.10714285714286</v>
      </c>
      <c r="L94" s="35">
        <f>47.62*250/210</f>
        <v>56.69047619047619</v>
      </c>
      <c r="M94" s="35">
        <f>172.94*250/210</f>
        <v>205.88095238095238</v>
      </c>
      <c r="N94" s="35">
        <f>1.08*250/210</f>
        <v>1.2857142857142858</v>
      </c>
      <c r="O94" s="35">
        <f>0.04*250/210</f>
        <v>4.7619047619047616E-2</v>
      </c>
      <c r="P94" s="35">
        <v>0.13</v>
      </c>
      <c r="Q94" s="35">
        <v>0</v>
      </c>
      <c r="R94" s="2">
        <f>0.55*250/210</f>
        <v>0.65476190476190477</v>
      </c>
    </row>
    <row r="95" spans="1:18" ht="18" customHeight="1" x14ac:dyDescent="0.25">
      <c r="A95" s="48"/>
      <c r="B95" s="1" t="s">
        <v>8</v>
      </c>
      <c r="C95" s="5" t="s">
        <v>76</v>
      </c>
      <c r="D95" s="1">
        <v>80</v>
      </c>
      <c r="E95" s="2">
        <v>5.87</v>
      </c>
      <c r="F95" s="2">
        <v>6.32</v>
      </c>
      <c r="G95" s="2">
        <v>0.8</v>
      </c>
      <c r="H95" s="2">
        <v>38.64</v>
      </c>
      <c r="I95" s="2">
        <v>187</v>
      </c>
      <c r="J95" s="49"/>
      <c r="K95" s="2">
        <v>18.399999999999999</v>
      </c>
      <c r="L95" s="2">
        <v>26.4</v>
      </c>
      <c r="M95" s="2">
        <v>69.599999999999994</v>
      </c>
      <c r="N95" s="2">
        <v>0.88</v>
      </c>
      <c r="O95" s="2">
        <v>0</v>
      </c>
      <c r="P95" s="2">
        <v>0.08</v>
      </c>
      <c r="Q95" s="2">
        <v>0.2</v>
      </c>
      <c r="R95" s="2">
        <v>0.2</v>
      </c>
    </row>
    <row r="96" spans="1:18" ht="18" customHeight="1" x14ac:dyDescent="0.25">
      <c r="A96" s="28">
        <v>15</v>
      </c>
      <c r="B96" s="1" t="s">
        <v>9</v>
      </c>
      <c r="C96" s="27" t="s">
        <v>107</v>
      </c>
      <c r="D96" s="1">
        <v>20</v>
      </c>
      <c r="E96" s="2">
        <v>19.2</v>
      </c>
      <c r="F96" s="35">
        <v>4.6399999999999997</v>
      </c>
      <c r="G96" s="35">
        <v>5.9</v>
      </c>
      <c r="H96" s="74">
        <v>0</v>
      </c>
      <c r="I96" s="35">
        <v>71.66</v>
      </c>
      <c r="J96" s="68"/>
      <c r="K96" s="35">
        <v>176</v>
      </c>
      <c r="L96" s="35">
        <v>7</v>
      </c>
      <c r="M96" s="35">
        <v>100</v>
      </c>
      <c r="N96" s="35">
        <v>0.2</v>
      </c>
      <c r="O96" s="35">
        <v>52</v>
      </c>
      <c r="P96" s="74">
        <v>0</v>
      </c>
      <c r="Q96" s="74">
        <v>0</v>
      </c>
      <c r="R96" s="74">
        <v>0</v>
      </c>
    </row>
    <row r="97" spans="1:18" ht="18" customHeight="1" x14ac:dyDescent="0.25">
      <c r="A97" s="1">
        <v>377</v>
      </c>
      <c r="B97" s="1" t="s">
        <v>13</v>
      </c>
      <c r="C97" s="27" t="s">
        <v>26</v>
      </c>
      <c r="D97" s="1">
        <v>200</v>
      </c>
      <c r="E97" s="2">
        <v>4.4400000000000004</v>
      </c>
      <c r="F97" s="2">
        <v>0.2</v>
      </c>
      <c r="G97" s="2">
        <v>0</v>
      </c>
      <c r="H97" s="2">
        <v>16</v>
      </c>
      <c r="I97" s="2">
        <v>65</v>
      </c>
      <c r="J97" s="49"/>
      <c r="K97" s="2">
        <v>225.1</v>
      </c>
      <c r="L97" s="2">
        <v>198.2</v>
      </c>
      <c r="M97" s="2">
        <v>371.1</v>
      </c>
      <c r="N97" s="2">
        <v>36.799999999999997</v>
      </c>
      <c r="O97" s="2">
        <v>0</v>
      </c>
      <c r="P97" s="2">
        <v>1.1000000000000001</v>
      </c>
      <c r="Q97" s="2">
        <v>3.6</v>
      </c>
      <c r="R97" s="2">
        <v>7.3</v>
      </c>
    </row>
    <row r="98" spans="1:18" ht="18" customHeight="1" x14ac:dyDescent="0.25">
      <c r="A98" s="81" t="s">
        <v>11</v>
      </c>
      <c r="B98" s="81"/>
      <c r="C98" s="81"/>
      <c r="D98" s="24">
        <v>560</v>
      </c>
      <c r="E98" s="13">
        <f>SUM(E93:E97)</f>
        <v>56.209999999999994</v>
      </c>
      <c r="F98" s="13">
        <f>SUM(F93:F97)</f>
        <v>18.338571428571427</v>
      </c>
      <c r="G98" s="13">
        <f>SUM(G93:G97)</f>
        <v>20.402380952380952</v>
      </c>
      <c r="H98" s="13">
        <f>SUM(H93:H97)</f>
        <v>94.294761904761913</v>
      </c>
      <c r="I98" s="13">
        <f>SUM(I93:I97)</f>
        <v>634.37428571428575</v>
      </c>
      <c r="J98" s="49"/>
      <c r="K98" s="13">
        <f t="shared" ref="K98:R98" si="9">SUM(K94:K97)</f>
        <v>570.60714285714289</v>
      </c>
      <c r="L98" s="13">
        <f t="shared" si="9"/>
        <v>288.29047619047617</v>
      </c>
      <c r="M98" s="13">
        <f t="shared" si="9"/>
        <v>746.58095238095234</v>
      </c>
      <c r="N98" s="13">
        <f t="shared" si="9"/>
        <v>39.16571428571428</v>
      </c>
      <c r="O98" s="13">
        <f t="shared" si="9"/>
        <v>52.047619047619051</v>
      </c>
      <c r="P98" s="13">
        <f t="shared" si="9"/>
        <v>1.31</v>
      </c>
      <c r="Q98" s="13">
        <f t="shared" si="9"/>
        <v>3.8000000000000003</v>
      </c>
      <c r="R98" s="13">
        <f t="shared" si="9"/>
        <v>8.1547619047619051</v>
      </c>
    </row>
    <row r="99" spans="1:18" ht="18" customHeight="1" x14ac:dyDescent="0.25">
      <c r="A99" s="92" t="s">
        <v>12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4"/>
    </row>
    <row r="100" spans="1:18" ht="18" customHeight="1" x14ac:dyDescent="0.25">
      <c r="A100" s="87" t="s">
        <v>29</v>
      </c>
      <c r="B100" s="82" t="s">
        <v>0</v>
      </c>
      <c r="C100" s="87" t="s">
        <v>38</v>
      </c>
      <c r="D100" s="82" t="s">
        <v>79</v>
      </c>
      <c r="E100" s="82" t="s">
        <v>2</v>
      </c>
      <c r="F100" s="83" t="s">
        <v>67</v>
      </c>
      <c r="G100" s="83" t="s">
        <v>68</v>
      </c>
      <c r="H100" s="83" t="s">
        <v>69</v>
      </c>
      <c r="I100" s="82" t="s">
        <v>3</v>
      </c>
      <c r="J100" s="15"/>
      <c r="K100" s="8" t="s">
        <v>70</v>
      </c>
      <c r="L100" s="8"/>
      <c r="M100" s="8"/>
      <c r="N100" s="8"/>
      <c r="O100" s="82" t="s">
        <v>71</v>
      </c>
      <c r="P100" s="82"/>
      <c r="Q100" s="82"/>
      <c r="R100" s="82"/>
    </row>
    <row r="101" spans="1:18" ht="15" customHeight="1" x14ac:dyDescent="0.25">
      <c r="A101" s="87"/>
      <c r="B101" s="82"/>
      <c r="C101" s="87"/>
      <c r="D101" s="82"/>
      <c r="E101" s="82"/>
      <c r="F101" s="84"/>
      <c r="G101" s="84"/>
      <c r="H101" s="84"/>
      <c r="I101" s="82"/>
      <c r="J101" s="15"/>
      <c r="K101" s="30" t="s">
        <v>30</v>
      </c>
      <c r="L101" s="24" t="s">
        <v>31</v>
      </c>
      <c r="M101" s="24" t="s">
        <v>32</v>
      </c>
      <c r="N101" s="24" t="s">
        <v>33</v>
      </c>
      <c r="O101" s="24" t="s">
        <v>34</v>
      </c>
      <c r="P101" s="24" t="s">
        <v>77</v>
      </c>
      <c r="Q101" s="24" t="s">
        <v>36</v>
      </c>
      <c r="R101" s="24" t="s">
        <v>37</v>
      </c>
    </row>
    <row r="102" spans="1:18" ht="18" customHeight="1" x14ac:dyDescent="0.25">
      <c r="A102" s="28">
        <v>71</v>
      </c>
      <c r="B102" s="1" t="s">
        <v>7</v>
      </c>
      <c r="C102" s="5" t="s">
        <v>88</v>
      </c>
      <c r="D102" s="1">
        <v>100</v>
      </c>
      <c r="E102" s="1">
        <v>15.78</v>
      </c>
      <c r="F102" s="67">
        <v>0.8</v>
      </c>
      <c r="G102" s="67">
        <v>0</v>
      </c>
      <c r="H102" s="67">
        <v>3.3</v>
      </c>
      <c r="I102" s="2">
        <v>16</v>
      </c>
      <c r="J102" s="49"/>
      <c r="K102" s="2">
        <v>23</v>
      </c>
      <c r="L102" s="2">
        <v>0</v>
      </c>
      <c r="M102" s="2">
        <v>0</v>
      </c>
      <c r="N102" s="2">
        <v>0.5</v>
      </c>
      <c r="O102" s="2">
        <v>0</v>
      </c>
      <c r="P102" s="2">
        <v>0</v>
      </c>
      <c r="Q102" s="2">
        <v>0</v>
      </c>
      <c r="R102" s="2">
        <v>5</v>
      </c>
    </row>
    <row r="103" spans="1:18" ht="17.25" customHeight="1" x14ac:dyDescent="0.25">
      <c r="A103" s="1">
        <v>108</v>
      </c>
      <c r="B103" s="1" t="s">
        <v>8</v>
      </c>
      <c r="C103" s="4" t="s">
        <v>22</v>
      </c>
      <c r="D103" s="1">
        <v>250</v>
      </c>
      <c r="E103" s="2">
        <v>10.85</v>
      </c>
      <c r="F103" s="2">
        <v>5.2</v>
      </c>
      <c r="G103" s="2">
        <v>6.3</v>
      </c>
      <c r="H103" s="2">
        <v>29</v>
      </c>
      <c r="I103" s="2">
        <v>193.5</v>
      </c>
      <c r="J103" s="49"/>
      <c r="K103" s="2">
        <v>86</v>
      </c>
      <c r="L103" s="2">
        <v>7.5</v>
      </c>
      <c r="M103" s="2">
        <v>14.7</v>
      </c>
      <c r="N103" s="2">
        <v>0.8</v>
      </c>
      <c r="O103" s="2">
        <v>1.2</v>
      </c>
      <c r="P103" s="2">
        <v>2.4</v>
      </c>
      <c r="Q103" s="2">
        <v>0.2</v>
      </c>
      <c r="R103" s="2">
        <v>1.9</v>
      </c>
    </row>
    <row r="104" spans="1:18" ht="18" customHeight="1" x14ac:dyDescent="0.25">
      <c r="A104" s="75">
        <v>268</v>
      </c>
      <c r="B104" s="75" t="s">
        <v>9</v>
      </c>
      <c r="C104" s="76" t="s">
        <v>23</v>
      </c>
      <c r="D104" s="47">
        <v>100</v>
      </c>
      <c r="E104" s="53">
        <v>51.02</v>
      </c>
      <c r="F104" s="53">
        <v>14.8</v>
      </c>
      <c r="G104" s="53">
        <v>19.399999999999999</v>
      </c>
      <c r="H104" s="53">
        <v>22.2</v>
      </c>
      <c r="I104" s="53">
        <v>322</v>
      </c>
      <c r="J104" s="77"/>
      <c r="K104" s="53">
        <v>43.7</v>
      </c>
      <c r="L104" s="53">
        <v>32.1</v>
      </c>
      <c r="M104" s="53">
        <v>166.4</v>
      </c>
      <c r="N104" s="53">
        <v>1</v>
      </c>
      <c r="O104" s="53">
        <v>28.7</v>
      </c>
      <c r="P104" s="53">
        <v>0.1</v>
      </c>
      <c r="Q104" s="53">
        <v>0</v>
      </c>
      <c r="R104" s="53">
        <v>0.1</v>
      </c>
    </row>
    <row r="105" spans="1:18" ht="18" customHeight="1" x14ac:dyDescent="0.25">
      <c r="A105" s="75">
        <v>321</v>
      </c>
      <c r="B105" s="75" t="s">
        <v>13</v>
      </c>
      <c r="C105" s="76" t="s">
        <v>24</v>
      </c>
      <c r="D105" s="47">
        <v>180</v>
      </c>
      <c r="E105" s="53">
        <v>19</v>
      </c>
      <c r="F105" s="53">
        <f>4*180/200</f>
        <v>3.6</v>
      </c>
      <c r="G105" s="53">
        <f>7.2*180/200</f>
        <v>6.48</v>
      </c>
      <c r="H105" s="53">
        <f>21.2*180/200</f>
        <v>19.079999999999998</v>
      </c>
      <c r="I105" s="53">
        <f>166*180/200</f>
        <v>149.4</v>
      </c>
      <c r="J105" s="77"/>
      <c r="K105" s="53">
        <f>93.2*180/200</f>
        <v>83.88</v>
      </c>
      <c r="L105" s="53">
        <f>30.7*180/200</f>
        <v>27.63</v>
      </c>
      <c r="M105" s="53">
        <f>62.3*180/200</f>
        <v>56.07</v>
      </c>
      <c r="N105" s="53">
        <f>1.2*180/200</f>
        <v>1.08</v>
      </c>
      <c r="O105" s="53">
        <f>0.4*180/200</f>
        <v>0.36</v>
      </c>
      <c r="P105" s="53">
        <f>19.2*180/200</f>
        <v>17.28</v>
      </c>
      <c r="Q105" s="53">
        <f>1.3*180/200</f>
        <v>1.17</v>
      </c>
      <c r="R105" s="53">
        <f>80.7*180/200</f>
        <v>72.63</v>
      </c>
    </row>
    <row r="106" spans="1:18" ht="18" customHeight="1" x14ac:dyDescent="0.25">
      <c r="A106" s="1">
        <v>1041</v>
      </c>
      <c r="B106" s="1" t="s">
        <v>14</v>
      </c>
      <c r="C106" s="27" t="s">
        <v>60</v>
      </c>
      <c r="D106" s="1">
        <v>200</v>
      </c>
      <c r="E106" s="2">
        <v>8.8000000000000007</v>
      </c>
      <c r="F106" s="2">
        <v>0.1</v>
      </c>
      <c r="G106" s="2">
        <v>0</v>
      </c>
      <c r="H106" s="2">
        <v>27.1</v>
      </c>
      <c r="I106" s="2">
        <v>108.6</v>
      </c>
      <c r="J106" s="55"/>
      <c r="K106" s="2">
        <v>23.52</v>
      </c>
      <c r="L106" s="2">
        <v>0</v>
      </c>
      <c r="M106" s="2">
        <v>0</v>
      </c>
      <c r="N106" s="2">
        <v>0.24</v>
      </c>
      <c r="O106" s="2">
        <v>0</v>
      </c>
      <c r="P106" s="2">
        <v>0.03</v>
      </c>
      <c r="Q106" s="2">
        <v>0</v>
      </c>
      <c r="R106" s="2">
        <v>12.9</v>
      </c>
    </row>
    <row r="107" spans="1:18" ht="18" customHeight="1" x14ac:dyDescent="0.25">
      <c r="A107" s="1"/>
      <c r="B107" s="1" t="s">
        <v>15</v>
      </c>
      <c r="C107" s="4" t="s">
        <v>95</v>
      </c>
      <c r="D107" s="32">
        <v>40</v>
      </c>
      <c r="E107" s="2">
        <v>2.93</v>
      </c>
      <c r="F107" s="2">
        <v>2.2400000000000002</v>
      </c>
      <c r="G107" s="2">
        <v>0.44000000000000006</v>
      </c>
      <c r="H107" s="2">
        <v>19.759999999999998</v>
      </c>
      <c r="I107" s="2">
        <v>91.960000000000008</v>
      </c>
      <c r="J107" s="2"/>
      <c r="K107" s="2">
        <v>9.1999999999999993</v>
      </c>
      <c r="L107" s="2">
        <v>10</v>
      </c>
      <c r="M107" s="2">
        <v>42.4</v>
      </c>
      <c r="N107" s="2">
        <v>1.24</v>
      </c>
      <c r="O107" s="2">
        <v>0</v>
      </c>
      <c r="P107" s="2">
        <v>0.04</v>
      </c>
      <c r="Q107" s="2">
        <v>0</v>
      </c>
      <c r="R107" s="2">
        <v>0</v>
      </c>
    </row>
    <row r="108" spans="1:18" ht="18" customHeight="1" x14ac:dyDescent="0.25">
      <c r="A108" s="1"/>
      <c r="B108" s="1" t="s">
        <v>78</v>
      </c>
      <c r="C108" s="31" t="s">
        <v>80</v>
      </c>
      <c r="D108" s="32">
        <v>70</v>
      </c>
      <c r="E108" s="35">
        <v>5.13</v>
      </c>
      <c r="F108" s="2">
        <v>5.53</v>
      </c>
      <c r="G108" s="2">
        <v>0.7</v>
      </c>
      <c r="H108" s="2">
        <v>33.81</v>
      </c>
      <c r="I108" s="2">
        <v>163.66</v>
      </c>
      <c r="J108" s="2"/>
      <c r="K108" s="2">
        <v>16.100000000000001</v>
      </c>
      <c r="L108" s="2">
        <v>23.1</v>
      </c>
      <c r="M108" s="2">
        <v>60.9</v>
      </c>
      <c r="N108" s="2">
        <v>0.77</v>
      </c>
      <c r="O108" s="2">
        <v>0</v>
      </c>
      <c r="P108" s="2">
        <v>7.0000000000000007E-2</v>
      </c>
      <c r="Q108" s="2">
        <v>0</v>
      </c>
      <c r="R108" s="2">
        <v>0</v>
      </c>
    </row>
    <row r="109" spans="1:18" ht="18" customHeight="1" x14ac:dyDescent="0.25">
      <c r="A109" s="1">
        <v>386</v>
      </c>
      <c r="B109" s="1" t="s">
        <v>91</v>
      </c>
      <c r="C109" s="27" t="s">
        <v>93</v>
      </c>
      <c r="D109" s="1">
        <v>100</v>
      </c>
      <c r="E109" s="2">
        <v>11.33</v>
      </c>
      <c r="F109" s="2">
        <v>2.7</v>
      </c>
      <c r="G109" s="2">
        <v>2.5</v>
      </c>
      <c r="H109" s="2">
        <v>10.8</v>
      </c>
      <c r="I109" s="2">
        <v>79</v>
      </c>
      <c r="J109" s="49"/>
      <c r="K109" s="2">
        <v>121</v>
      </c>
      <c r="L109" s="2">
        <v>15</v>
      </c>
      <c r="M109" s="2">
        <v>94</v>
      </c>
      <c r="N109" s="2">
        <v>0.1</v>
      </c>
      <c r="O109" s="2">
        <v>20</v>
      </c>
      <c r="P109" s="2">
        <v>4.4999999999999998E-2</v>
      </c>
      <c r="Q109" s="2">
        <v>0.1</v>
      </c>
      <c r="R109" s="2">
        <v>1.35</v>
      </c>
    </row>
    <row r="110" spans="1:18" ht="18" customHeight="1" x14ac:dyDescent="0.25">
      <c r="A110" s="81" t="s">
        <v>11</v>
      </c>
      <c r="B110" s="81"/>
      <c r="C110" s="81"/>
      <c r="D110" s="24">
        <v>1040</v>
      </c>
      <c r="E110" s="24">
        <f t="shared" ref="E110:R110" si="10">SUM(E102:E109)</f>
        <v>124.84</v>
      </c>
      <c r="F110" s="13">
        <f t="shared" si="10"/>
        <v>34.970000000000006</v>
      </c>
      <c r="G110" s="13">
        <f t="shared" si="10"/>
        <v>35.82</v>
      </c>
      <c r="H110" s="13">
        <f t="shared" si="10"/>
        <v>165.05</v>
      </c>
      <c r="I110" s="13">
        <f t="shared" si="10"/>
        <v>1124.1200000000001</v>
      </c>
      <c r="J110" s="13">
        <f t="shared" si="10"/>
        <v>0</v>
      </c>
      <c r="K110" s="13">
        <f t="shared" si="10"/>
        <v>406.4</v>
      </c>
      <c r="L110" s="13">
        <f t="shared" si="10"/>
        <v>115.33000000000001</v>
      </c>
      <c r="M110" s="13">
        <f t="shared" si="10"/>
        <v>434.46999999999997</v>
      </c>
      <c r="N110" s="13">
        <f t="shared" si="10"/>
        <v>5.73</v>
      </c>
      <c r="O110" s="13">
        <f t="shared" si="10"/>
        <v>50.26</v>
      </c>
      <c r="P110" s="13">
        <f t="shared" si="10"/>
        <v>19.965000000000003</v>
      </c>
      <c r="Q110" s="13">
        <f t="shared" si="10"/>
        <v>1.47</v>
      </c>
      <c r="R110" s="13">
        <f t="shared" si="10"/>
        <v>93.88</v>
      </c>
    </row>
    <row r="111" spans="1:18" ht="18" customHeight="1" x14ac:dyDescent="0.25">
      <c r="A111" s="85" t="s">
        <v>17</v>
      </c>
      <c r="B111" s="85"/>
      <c r="C111" s="85"/>
      <c r="D111" s="85"/>
      <c r="E111" s="13">
        <f>E98+E110</f>
        <v>181.05</v>
      </c>
      <c r="F111" s="13">
        <f>F98+F110</f>
        <v>53.308571428571433</v>
      </c>
      <c r="G111" s="13">
        <f>G98+G110</f>
        <v>56.222380952380952</v>
      </c>
      <c r="H111" s="13">
        <f>H98+H110</f>
        <v>259.34476190476192</v>
      </c>
      <c r="I111" s="13">
        <f>I98+I110</f>
        <v>1758.494285714286</v>
      </c>
      <c r="J111" s="49"/>
      <c r="K111" s="13">
        <f t="shared" ref="K111:R111" si="11">K98+K110</f>
        <v>977.00714285714287</v>
      </c>
      <c r="L111" s="13">
        <f t="shared" si="11"/>
        <v>403.62047619047621</v>
      </c>
      <c r="M111" s="13">
        <f t="shared" si="11"/>
        <v>1181.0509523809524</v>
      </c>
      <c r="N111" s="13">
        <f t="shared" si="11"/>
        <v>44.895714285714277</v>
      </c>
      <c r="O111" s="13">
        <f t="shared" si="11"/>
        <v>102.30761904761906</v>
      </c>
      <c r="P111" s="13">
        <f t="shared" si="11"/>
        <v>21.275000000000002</v>
      </c>
      <c r="Q111" s="13">
        <f t="shared" si="11"/>
        <v>5.2700000000000005</v>
      </c>
      <c r="R111" s="13">
        <f t="shared" si="11"/>
        <v>102.03476190476189</v>
      </c>
    </row>
    <row r="112" spans="1:18" x14ac:dyDescent="0.25">
      <c r="A112" s="16"/>
      <c r="B112" s="16"/>
      <c r="C112" s="16"/>
      <c r="D112" s="16"/>
      <c r="E112" s="18"/>
      <c r="F112" s="18"/>
      <c r="G112" s="18"/>
      <c r="H112" s="18"/>
      <c r="I112" s="18"/>
      <c r="J112" s="20"/>
      <c r="K112" s="18"/>
      <c r="L112" s="17"/>
      <c r="M112" s="18"/>
      <c r="N112" s="21"/>
      <c r="O112" s="18"/>
      <c r="P112" s="17"/>
      <c r="Q112" s="19"/>
      <c r="R112" s="19"/>
    </row>
    <row r="113" spans="1:18" x14ac:dyDescent="0.25">
      <c r="A113" s="16"/>
      <c r="B113" s="16"/>
      <c r="C113" s="16"/>
      <c r="D113" s="16"/>
      <c r="E113" s="18"/>
      <c r="F113" s="18"/>
      <c r="G113" s="18"/>
      <c r="H113" s="18"/>
      <c r="I113" s="18"/>
      <c r="J113" s="20"/>
      <c r="K113" s="18"/>
      <c r="L113" s="17"/>
      <c r="M113" s="18"/>
      <c r="N113" s="21"/>
      <c r="O113" s="18"/>
      <c r="P113" s="17"/>
      <c r="Q113" s="19"/>
      <c r="R113" s="19"/>
    </row>
    <row r="114" spans="1:18" x14ac:dyDescent="0.25">
      <c r="A114" s="16"/>
      <c r="B114" s="16"/>
      <c r="C114" s="16"/>
      <c r="D114" s="16"/>
      <c r="E114" s="18"/>
      <c r="F114" s="18"/>
      <c r="G114" s="18"/>
      <c r="H114" s="18"/>
      <c r="I114" s="18"/>
      <c r="J114" s="20"/>
      <c r="K114" s="18"/>
      <c r="L114" s="17"/>
      <c r="M114" s="18"/>
      <c r="N114" s="21"/>
      <c r="O114" s="18"/>
      <c r="P114" s="17"/>
      <c r="Q114" s="19"/>
      <c r="R114" s="19"/>
    </row>
    <row r="115" spans="1:18" x14ac:dyDescent="0.25">
      <c r="A115" s="16"/>
      <c r="B115" s="16"/>
      <c r="C115" s="16"/>
      <c r="D115" s="16"/>
      <c r="E115" s="18"/>
      <c r="F115" s="18"/>
      <c r="G115" s="18"/>
      <c r="H115" s="18"/>
      <c r="I115" s="18"/>
      <c r="J115" s="20"/>
      <c r="K115" s="18"/>
      <c r="L115" s="17"/>
      <c r="M115" s="18"/>
      <c r="N115" s="18"/>
      <c r="O115" s="18"/>
      <c r="P115" s="18"/>
      <c r="Q115" s="17"/>
      <c r="R115" s="18"/>
    </row>
    <row r="116" spans="1:18" x14ac:dyDescent="0.25">
      <c r="A116" s="16"/>
      <c r="B116" s="16"/>
      <c r="C116" s="16"/>
      <c r="D116" s="16"/>
      <c r="E116" s="18"/>
      <c r="F116" s="18"/>
      <c r="G116" s="18"/>
      <c r="H116" s="18"/>
      <c r="I116" s="18"/>
      <c r="J116" s="20"/>
      <c r="K116" s="18"/>
      <c r="L116" s="17"/>
      <c r="M116" s="18"/>
      <c r="N116" s="18"/>
      <c r="O116" s="18"/>
      <c r="P116" s="18"/>
      <c r="Q116" s="17"/>
      <c r="R116" s="18"/>
    </row>
    <row r="117" spans="1:18" x14ac:dyDescent="0.25">
      <c r="A117" s="16"/>
      <c r="B117" s="16"/>
      <c r="C117" s="16"/>
      <c r="D117" s="16"/>
      <c r="E117" s="18"/>
      <c r="F117" s="18"/>
      <c r="G117" s="18"/>
      <c r="H117" s="18"/>
      <c r="I117" s="18"/>
      <c r="J117" s="20"/>
      <c r="K117" s="18"/>
      <c r="L117" s="17"/>
      <c r="M117" s="18"/>
      <c r="N117" s="18"/>
      <c r="O117" s="18"/>
      <c r="P117" s="18"/>
      <c r="Q117" s="17"/>
      <c r="R117" s="18"/>
    </row>
    <row r="118" spans="1:18" ht="18" customHeight="1" x14ac:dyDescent="0.25">
      <c r="A118" s="89" t="s">
        <v>44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1"/>
    </row>
    <row r="119" spans="1:18" ht="18.75" customHeight="1" x14ac:dyDescent="0.25">
      <c r="A119" s="86" t="s">
        <v>4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1:18" ht="18" customHeight="1" x14ac:dyDescent="0.25">
      <c r="A120" s="87" t="s">
        <v>29</v>
      </c>
      <c r="B120" s="82" t="s">
        <v>0</v>
      </c>
      <c r="C120" s="87" t="s">
        <v>38</v>
      </c>
      <c r="D120" s="82" t="s">
        <v>82</v>
      </c>
      <c r="E120" s="82" t="s">
        <v>2</v>
      </c>
      <c r="F120" s="83" t="s">
        <v>67</v>
      </c>
      <c r="G120" s="83" t="s">
        <v>68</v>
      </c>
      <c r="H120" s="83" t="s">
        <v>69</v>
      </c>
      <c r="I120" s="82" t="s">
        <v>3</v>
      </c>
      <c r="J120" s="15"/>
      <c r="K120" s="8" t="s">
        <v>70</v>
      </c>
      <c r="L120" s="8"/>
      <c r="M120" s="8"/>
      <c r="N120" s="8"/>
      <c r="O120" s="82" t="s">
        <v>71</v>
      </c>
      <c r="P120" s="82"/>
      <c r="Q120" s="82"/>
      <c r="R120" s="82"/>
    </row>
    <row r="121" spans="1:18" ht="15" customHeight="1" x14ac:dyDescent="0.25">
      <c r="A121" s="87"/>
      <c r="B121" s="82"/>
      <c r="C121" s="87"/>
      <c r="D121" s="82"/>
      <c r="E121" s="82"/>
      <c r="F121" s="84"/>
      <c r="G121" s="84"/>
      <c r="H121" s="84"/>
      <c r="I121" s="82"/>
      <c r="J121" s="15"/>
      <c r="K121" s="30" t="s">
        <v>30</v>
      </c>
      <c r="L121" s="24" t="s">
        <v>31</v>
      </c>
      <c r="M121" s="24" t="s">
        <v>32</v>
      </c>
      <c r="N121" s="24" t="s">
        <v>33</v>
      </c>
      <c r="O121" s="24" t="s">
        <v>34</v>
      </c>
      <c r="P121" s="24" t="s">
        <v>77</v>
      </c>
      <c r="Q121" s="24" t="s">
        <v>36</v>
      </c>
      <c r="R121" s="24" t="s">
        <v>37</v>
      </c>
    </row>
    <row r="122" spans="1:18" ht="18" customHeight="1" x14ac:dyDescent="0.25">
      <c r="A122" s="1">
        <v>219</v>
      </c>
      <c r="B122" s="1" t="s">
        <v>7</v>
      </c>
      <c r="C122" s="45" t="s">
        <v>53</v>
      </c>
      <c r="D122" s="32" t="s">
        <v>127</v>
      </c>
      <c r="E122" s="2">
        <v>96.66</v>
      </c>
      <c r="F122" s="2">
        <v>33.94</v>
      </c>
      <c r="G122" s="2">
        <v>28.19</v>
      </c>
      <c r="H122" s="2">
        <v>53.88</v>
      </c>
      <c r="I122" s="2">
        <v>606.57000000000005</v>
      </c>
      <c r="J122" s="49"/>
      <c r="K122" s="2">
        <v>442.2</v>
      </c>
      <c r="L122" s="2">
        <v>57.64</v>
      </c>
      <c r="M122" s="2">
        <v>493.05</v>
      </c>
      <c r="N122" s="2">
        <v>1.19</v>
      </c>
      <c r="O122" s="2">
        <v>115.97</v>
      </c>
      <c r="P122" s="2">
        <v>0.06</v>
      </c>
      <c r="Q122" s="2">
        <v>0.45</v>
      </c>
      <c r="R122" s="2">
        <v>1.04</v>
      </c>
    </row>
    <row r="123" spans="1:18" ht="18" customHeight="1" x14ac:dyDescent="0.25">
      <c r="A123" s="1">
        <v>376</v>
      </c>
      <c r="B123" s="1" t="s">
        <v>8</v>
      </c>
      <c r="C123" s="31" t="s">
        <v>16</v>
      </c>
      <c r="D123" s="1">
        <v>200</v>
      </c>
      <c r="E123" s="2">
        <v>1.88</v>
      </c>
      <c r="F123" s="2">
        <v>0.1</v>
      </c>
      <c r="G123" s="73">
        <v>0</v>
      </c>
      <c r="H123" s="2">
        <v>15</v>
      </c>
      <c r="I123" s="2">
        <v>60</v>
      </c>
      <c r="J123" s="49"/>
      <c r="K123" s="2">
        <v>5</v>
      </c>
      <c r="L123" s="73">
        <v>0</v>
      </c>
      <c r="M123" s="73">
        <v>0</v>
      </c>
      <c r="N123" s="2">
        <v>2</v>
      </c>
      <c r="O123" s="73">
        <v>0</v>
      </c>
      <c r="P123" s="73">
        <v>0</v>
      </c>
      <c r="Q123" s="73">
        <v>0</v>
      </c>
      <c r="R123" s="73">
        <v>0</v>
      </c>
    </row>
    <row r="124" spans="1:18" ht="18" customHeight="1" x14ac:dyDescent="0.25">
      <c r="A124" s="56"/>
      <c r="B124" s="62" t="s">
        <v>9</v>
      </c>
      <c r="C124" s="61" t="s">
        <v>132</v>
      </c>
      <c r="D124" s="62">
        <v>200</v>
      </c>
      <c r="E124" s="66">
        <v>40</v>
      </c>
      <c r="F124" s="56">
        <v>0.86</v>
      </c>
      <c r="G124" s="56">
        <v>0.88</v>
      </c>
      <c r="H124" s="71">
        <v>21.6</v>
      </c>
      <c r="I124" s="66">
        <v>103.4</v>
      </c>
      <c r="J124" s="68"/>
      <c r="K124" s="35">
        <v>35.200000000000003</v>
      </c>
      <c r="L124" s="35">
        <v>19.8</v>
      </c>
      <c r="M124" s="35">
        <v>24.2</v>
      </c>
      <c r="N124" s="35">
        <v>4.8</v>
      </c>
      <c r="O124" s="35">
        <v>0</v>
      </c>
      <c r="P124" s="35">
        <v>0.03</v>
      </c>
      <c r="Q124" s="35">
        <v>0.67</v>
      </c>
      <c r="R124" s="35">
        <v>22</v>
      </c>
    </row>
    <row r="125" spans="1:18" ht="18" customHeight="1" x14ac:dyDescent="0.25">
      <c r="A125" s="81" t="s">
        <v>11</v>
      </c>
      <c r="B125" s="81"/>
      <c r="C125" s="81"/>
      <c r="D125" s="24">
        <v>620</v>
      </c>
      <c r="E125" s="13">
        <f t="shared" ref="E125:R125" si="12">SUM(E122:E124)</f>
        <v>138.54</v>
      </c>
      <c r="F125" s="13">
        <f t="shared" si="12"/>
        <v>34.9</v>
      </c>
      <c r="G125" s="13">
        <f t="shared" si="12"/>
        <v>29.07</v>
      </c>
      <c r="H125" s="13">
        <f t="shared" si="12"/>
        <v>90.47999999999999</v>
      </c>
      <c r="I125" s="13">
        <f t="shared" si="12"/>
        <v>769.97</v>
      </c>
      <c r="J125" s="13">
        <f t="shared" si="12"/>
        <v>0</v>
      </c>
      <c r="K125" s="13">
        <f t="shared" si="12"/>
        <v>482.4</v>
      </c>
      <c r="L125" s="13">
        <f t="shared" si="12"/>
        <v>77.44</v>
      </c>
      <c r="M125" s="13">
        <f t="shared" si="12"/>
        <v>517.25</v>
      </c>
      <c r="N125" s="13">
        <f t="shared" si="12"/>
        <v>7.99</v>
      </c>
      <c r="O125" s="13">
        <f t="shared" si="12"/>
        <v>115.97</v>
      </c>
      <c r="P125" s="13">
        <f t="shared" si="12"/>
        <v>0.09</v>
      </c>
      <c r="Q125" s="13">
        <f t="shared" si="12"/>
        <v>1.1200000000000001</v>
      </c>
      <c r="R125" s="13">
        <f t="shared" si="12"/>
        <v>23.04</v>
      </c>
    </row>
    <row r="126" spans="1:18" ht="18" customHeight="1" x14ac:dyDescent="0.25">
      <c r="A126" s="86" t="s">
        <v>12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1:18" ht="18" customHeight="1" x14ac:dyDescent="0.25">
      <c r="A127" s="87" t="s">
        <v>29</v>
      </c>
      <c r="B127" s="82" t="s">
        <v>0</v>
      </c>
      <c r="C127" s="87" t="s">
        <v>38</v>
      </c>
      <c r="D127" s="82" t="s">
        <v>82</v>
      </c>
      <c r="E127" s="82" t="s">
        <v>2</v>
      </c>
      <c r="F127" s="83" t="s">
        <v>67</v>
      </c>
      <c r="G127" s="83" t="s">
        <v>68</v>
      </c>
      <c r="H127" s="83" t="s">
        <v>69</v>
      </c>
      <c r="I127" s="82" t="s">
        <v>3</v>
      </c>
      <c r="J127" s="15"/>
      <c r="K127" s="8" t="s">
        <v>70</v>
      </c>
      <c r="L127" s="8"/>
      <c r="M127" s="8"/>
      <c r="N127" s="8"/>
      <c r="O127" s="82" t="s">
        <v>71</v>
      </c>
      <c r="P127" s="82"/>
      <c r="Q127" s="82"/>
      <c r="R127" s="82"/>
    </row>
    <row r="128" spans="1:18" ht="15.75" customHeight="1" x14ac:dyDescent="0.25">
      <c r="A128" s="87"/>
      <c r="B128" s="82"/>
      <c r="C128" s="87"/>
      <c r="D128" s="82"/>
      <c r="E128" s="82"/>
      <c r="F128" s="84"/>
      <c r="G128" s="84"/>
      <c r="H128" s="84"/>
      <c r="I128" s="82"/>
      <c r="J128" s="15"/>
      <c r="K128" s="30" t="s">
        <v>30</v>
      </c>
      <c r="L128" s="24" t="s">
        <v>31</v>
      </c>
      <c r="M128" s="24" t="s">
        <v>32</v>
      </c>
      <c r="N128" s="24" t="s">
        <v>33</v>
      </c>
      <c r="O128" s="24" t="s">
        <v>34</v>
      </c>
      <c r="P128" s="24" t="s">
        <v>77</v>
      </c>
      <c r="Q128" s="24" t="s">
        <v>36</v>
      </c>
      <c r="R128" s="24" t="s">
        <v>37</v>
      </c>
    </row>
    <row r="129" spans="1:18" ht="21" customHeight="1" x14ac:dyDescent="0.25">
      <c r="A129" s="28">
        <v>45</v>
      </c>
      <c r="B129" s="1" t="s">
        <v>7</v>
      </c>
      <c r="C129" s="5" t="s">
        <v>121</v>
      </c>
      <c r="D129" s="1">
        <v>100</v>
      </c>
      <c r="E129" s="1">
        <v>8.2200000000000006</v>
      </c>
      <c r="F129" s="52">
        <v>1.3</v>
      </c>
      <c r="G129" s="52">
        <v>4.7</v>
      </c>
      <c r="H129" s="52">
        <v>10.3</v>
      </c>
      <c r="I129" s="1">
        <v>88</v>
      </c>
      <c r="J129" s="1"/>
      <c r="K129" s="1">
        <v>37.299999999999997</v>
      </c>
      <c r="L129" s="1">
        <v>15.2</v>
      </c>
      <c r="M129" s="1">
        <v>27.7</v>
      </c>
      <c r="N129" s="1">
        <v>0.5</v>
      </c>
      <c r="O129" s="1">
        <v>0</v>
      </c>
      <c r="P129" s="1">
        <v>0</v>
      </c>
      <c r="Q129" s="1">
        <v>0</v>
      </c>
      <c r="R129" s="1">
        <v>32.5</v>
      </c>
    </row>
    <row r="130" spans="1:18" ht="26.45" customHeight="1" x14ac:dyDescent="0.25">
      <c r="A130" s="75">
        <v>103</v>
      </c>
      <c r="B130" s="75" t="s">
        <v>8</v>
      </c>
      <c r="C130" s="76" t="s">
        <v>56</v>
      </c>
      <c r="D130" s="47">
        <v>250</v>
      </c>
      <c r="E130" s="53">
        <v>8.08</v>
      </c>
      <c r="F130" s="53">
        <f>2.15*250/200</f>
        <v>2.6875</v>
      </c>
      <c r="G130" s="53">
        <f>2.27*250/200</f>
        <v>2.8374999999999999</v>
      </c>
      <c r="H130" s="53">
        <f>13.96*250/200</f>
        <v>17.45</v>
      </c>
      <c r="I130" s="53">
        <f>94.6*250/200</f>
        <v>118.25</v>
      </c>
      <c r="J130" s="77"/>
      <c r="K130" s="53">
        <f>23.36*250/200</f>
        <v>29.2</v>
      </c>
      <c r="L130" s="53">
        <v>21.82</v>
      </c>
      <c r="M130" s="53">
        <f>54.06*250/200</f>
        <v>67.575000000000003</v>
      </c>
      <c r="N130" s="53">
        <f>0.9*250/200</f>
        <v>1.125</v>
      </c>
      <c r="O130" s="53">
        <v>0</v>
      </c>
      <c r="P130" s="53">
        <f>0.09*250/200</f>
        <v>0.1125</v>
      </c>
      <c r="Q130" s="53">
        <f>0.946*250/200</f>
        <v>1.1825000000000001</v>
      </c>
      <c r="R130" s="53">
        <f>6.6*250/200</f>
        <v>8.25</v>
      </c>
    </row>
    <row r="131" spans="1:18" ht="21" customHeight="1" x14ac:dyDescent="0.25">
      <c r="A131" s="32">
        <v>282</v>
      </c>
      <c r="B131" s="37" t="s">
        <v>9</v>
      </c>
      <c r="C131" s="44" t="s">
        <v>61</v>
      </c>
      <c r="D131" s="1" t="s">
        <v>110</v>
      </c>
      <c r="E131" s="2">
        <v>67.25</v>
      </c>
      <c r="F131" s="2">
        <v>16.8</v>
      </c>
      <c r="G131" s="2">
        <v>23.1</v>
      </c>
      <c r="H131" s="2">
        <v>6.1</v>
      </c>
      <c r="I131" s="2">
        <v>299.7</v>
      </c>
      <c r="J131" s="69"/>
      <c r="K131" s="2">
        <v>19.5</v>
      </c>
      <c r="L131" s="2">
        <v>22</v>
      </c>
      <c r="M131" s="2">
        <v>346.9</v>
      </c>
      <c r="N131" s="2">
        <v>7.4</v>
      </c>
      <c r="O131" s="2">
        <v>9.6999999999999993</v>
      </c>
      <c r="P131" s="2">
        <v>2.7</v>
      </c>
      <c r="Q131" s="2">
        <v>9.5</v>
      </c>
      <c r="R131" s="2">
        <v>34.6</v>
      </c>
    </row>
    <row r="132" spans="1:18" ht="20.25" customHeight="1" x14ac:dyDescent="0.25">
      <c r="A132" s="32">
        <v>171</v>
      </c>
      <c r="B132" s="37" t="s">
        <v>13</v>
      </c>
      <c r="C132" s="44" t="s">
        <v>59</v>
      </c>
      <c r="D132" s="1">
        <v>180</v>
      </c>
      <c r="E132" s="2">
        <v>19.82</v>
      </c>
      <c r="F132" s="2">
        <f>6.3*180/150</f>
        <v>7.56</v>
      </c>
      <c r="G132" s="2">
        <f>9.9*180/150</f>
        <v>11.88</v>
      </c>
      <c r="H132" s="2">
        <f>46.7*180/150</f>
        <v>56.04</v>
      </c>
      <c r="I132" s="2">
        <v>300.89999999999998</v>
      </c>
      <c r="J132" s="49"/>
      <c r="K132" s="2">
        <v>136.69999999999999</v>
      </c>
      <c r="L132" s="2">
        <v>1.4</v>
      </c>
      <c r="M132" s="2">
        <v>22.2</v>
      </c>
      <c r="N132" s="2">
        <v>1.2</v>
      </c>
      <c r="O132" s="2">
        <v>1.2</v>
      </c>
      <c r="P132" s="2">
        <v>0.1</v>
      </c>
      <c r="Q132" s="2">
        <v>0</v>
      </c>
      <c r="R132" s="2">
        <v>0</v>
      </c>
    </row>
    <row r="133" spans="1:18" ht="18" customHeight="1" x14ac:dyDescent="0.25">
      <c r="A133" s="34"/>
      <c r="B133" s="34" t="s">
        <v>14</v>
      </c>
      <c r="C133" s="4" t="s">
        <v>66</v>
      </c>
      <c r="D133" s="1">
        <v>200</v>
      </c>
      <c r="E133" s="2">
        <v>12</v>
      </c>
      <c r="F133" s="2">
        <v>0.2</v>
      </c>
      <c r="G133" s="2">
        <v>0</v>
      </c>
      <c r="H133" s="2">
        <v>3.9</v>
      </c>
      <c r="I133" s="2">
        <f>16*180/150</f>
        <v>19.2</v>
      </c>
      <c r="J133" s="69"/>
      <c r="K133" s="2">
        <f>0.24*180/150</f>
        <v>0.28799999999999998</v>
      </c>
      <c r="L133" s="2">
        <f>0.2*180/150</f>
        <v>0.24</v>
      </c>
      <c r="M133" s="2">
        <f>0.5*180/150</f>
        <v>0.6</v>
      </c>
      <c r="N133" s="2">
        <f>7*180/150</f>
        <v>8.4</v>
      </c>
      <c r="O133" s="2">
        <v>0</v>
      </c>
      <c r="P133" s="2">
        <f>0.1*180/150</f>
        <v>0.12</v>
      </c>
      <c r="Q133" s="2">
        <v>0</v>
      </c>
      <c r="R133" s="2">
        <v>6</v>
      </c>
    </row>
    <row r="134" spans="1:18" ht="18" customHeight="1" x14ac:dyDescent="0.25">
      <c r="A134" s="1"/>
      <c r="B134" s="34" t="s">
        <v>15</v>
      </c>
      <c r="C134" s="4" t="s">
        <v>95</v>
      </c>
      <c r="D134" s="32">
        <v>40</v>
      </c>
      <c r="E134" s="2">
        <v>2.93</v>
      </c>
      <c r="F134" s="2">
        <v>2.2400000000000002</v>
      </c>
      <c r="G134" s="2">
        <v>0.44000000000000006</v>
      </c>
      <c r="H134" s="2">
        <v>19.759999999999998</v>
      </c>
      <c r="I134" s="2">
        <v>91.960000000000008</v>
      </c>
      <c r="J134" s="69"/>
      <c r="K134" s="2">
        <v>9.1999999999999993</v>
      </c>
      <c r="L134" s="2">
        <v>10</v>
      </c>
      <c r="M134" s="2">
        <v>42.4</v>
      </c>
      <c r="N134" s="2">
        <v>1.24</v>
      </c>
      <c r="O134" s="2">
        <v>0</v>
      </c>
      <c r="P134" s="2">
        <v>0.04</v>
      </c>
      <c r="Q134" s="2">
        <v>0</v>
      </c>
      <c r="R134" s="2">
        <v>0</v>
      </c>
    </row>
    <row r="135" spans="1:18" ht="18" customHeight="1" x14ac:dyDescent="0.25">
      <c r="A135" s="1"/>
      <c r="B135" s="34" t="s">
        <v>78</v>
      </c>
      <c r="C135" s="27" t="s">
        <v>80</v>
      </c>
      <c r="D135" s="32">
        <v>70</v>
      </c>
      <c r="E135" s="35">
        <v>5.13</v>
      </c>
      <c r="F135" s="2">
        <v>5.53</v>
      </c>
      <c r="G135" s="2">
        <v>0.7</v>
      </c>
      <c r="H135" s="2">
        <v>33.81</v>
      </c>
      <c r="I135" s="2">
        <v>163.66</v>
      </c>
      <c r="J135" s="49"/>
      <c r="K135" s="2">
        <v>16.100000000000001</v>
      </c>
      <c r="L135" s="2">
        <v>23.1</v>
      </c>
      <c r="M135" s="2">
        <v>60.9</v>
      </c>
      <c r="N135" s="2">
        <v>0.77</v>
      </c>
      <c r="O135" s="2">
        <v>0</v>
      </c>
      <c r="P135" s="2">
        <v>7.0000000000000007E-2</v>
      </c>
      <c r="Q135" s="2">
        <v>0</v>
      </c>
      <c r="R135" s="2">
        <v>0</v>
      </c>
    </row>
    <row r="136" spans="1:18" ht="18" customHeight="1" x14ac:dyDescent="0.25">
      <c r="A136" s="81" t="s">
        <v>11</v>
      </c>
      <c r="B136" s="81"/>
      <c r="C136" s="81"/>
      <c r="D136" s="24">
        <v>945</v>
      </c>
      <c r="E136" s="24">
        <f t="shared" ref="E136:R136" si="13">SUM(E129:E135)</f>
        <v>123.43</v>
      </c>
      <c r="F136" s="13">
        <f t="shared" si="13"/>
        <v>36.317500000000003</v>
      </c>
      <c r="G136" s="13">
        <f t="shared" si="13"/>
        <v>43.657500000000006</v>
      </c>
      <c r="H136" s="13">
        <f t="shared" si="13"/>
        <v>147.36000000000001</v>
      </c>
      <c r="I136" s="13">
        <f t="shared" si="13"/>
        <v>1081.67</v>
      </c>
      <c r="J136" s="13">
        <f t="shared" si="13"/>
        <v>0</v>
      </c>
      <c r="K136" s="13">
        <f t="shared" si="13"/>
        <v>248.28799999999998</v>
      </c>
      <c r="L136" s="13">
        <f t="shared" si="13"/>
        <v>93.759999999999991</v>
      </c>
      <c r="M136" s="13">
        <f t="shared" si="13"/>
        <v>568.27499999999998</v>
      </c>
      <c r="N136" s="13">
        <f t="shared" si="13"/>
        <v>20.634999999999998</v>
      </c>
      <c r="O136" s="13">
        <f t="shared" si="13"/>
        <v>10.899999999999999</v>
      </c>
      <c r="P136" s="13">
        <f t="shared" si="13"/>
        <v>3.1425000000000001</v>
      </c>
      <c r="Q136" s="13">
        <f t="shared" si="13"/>
        <v>10.682500000000001</v>
      </c>
      <c r="R136" s="13">
        <f t="shared" si="13"/>
        <v>81.349999999999994</v>
      </c>
    </row>
    <row r="137" spans="1:18" ht="18" customHeight="1" x14ac:dyDescent="0.25">
      <c r="A137" s="85" t="s">
        <v>17</v>
      </c>
      <c r="B137" s="85"/>
      <c r="C137" s="85"/>
      <c r="D137" s="85"/>
      <c r="E137" s="13">
        <f>E125+E136</f>
        <v>261.97000000000003</v>
      </c>
      <c r="F137" s="13">
        <f>F125+F136</f>
        <v>71.217500000000001</v>
      </c>
      <c r="G137" s="13">
        <f>G125+G136</f>
        <v>72.727500000000006</v>
      </c>
      <c r="H137" s="13">
        <f>H125+H136</f>
        <v>237.84</v>
      </c>
      <c r="I137" s="13">
        <f>I125+I136</f>
        <v>1851.64</v>
      </c>
      <c r="J137" s="49"/>
      <c r="K137" s="13">
        <f t="shared" ref="K137:R137" si="14">K125+K136</f>
        <v>730.68799999999999</v>
      </c>
      <c r="L137" s="13">
        <f t="shared" si="14"/>
        <v>171.2</v>
      </c>
      <c r="M137" s="13">
        <f t="shared" si="14"/>
        <v>1085.5250000000001</v>
      </c>
      <c r="N137" s="13">
        <f t="shared" si="14"/>
        <v>28.625</v>
      </c>
      <c r="O137" s="13">
        <f t="shared" si="14"/>
        <v>126.87</v>
      </c>
      <c r="P137" s="13">
        <f t="shared" si="14"/>
        <v>3.2324999999999999</v>
      </c>
      <c r="Q137" s="13">
        <f t="shared" si="14"/>
        <v>11.802500000000002</v>
      </c>
      <c r="R137" s="13">
        <f t="shared" si="14"/>
        <v>104.38999999999999</v>
      </c>
    </row>
    <row r="138" spans="1:18" x14ac:dyDescent="0.25">
      <c r="A138" s="16"/>
      <c r="B138" s="16"/>
      <c r="C138" s="16"/>
      <c r="D138" s="16"/>
      <c r="E138" s="18"/>
      <c r="F138" s="18"/>
      <c r="G138" s="18"/>
      <c r="H138" s="18"/>
      <c r="I138" s="18"/>
      <c r="J138" s="20"/>
      <c r="K138" s="18"/>
      <c r="L138" s="18"/>
      <c r="M138" s="17"/>
      <c r="N138" s="18"/>
      <c r="O138" s="18"/>
      <c r="P138" s="17"/>
      <c r="Q138" s="19"/>
      <c r="R138" s="18"/>
    </row>
    <row r="139" spans="1:18" x14ac:dyDescent="0.25">
      <c r="A139" s="16"/>
      <c r="B139" s="16"/>
      <c r="C139" s="16"/>
      <c r="D139" s="16"/>
      <c r="E139" s="18"/>
      <c r="F139" s="18"/>
      <c r="G139" s="18"/>
      <c r="H139" s="18"/>
      <c r="I139" s="18"/>
      <c r="J139" s="20"/>
      <c r="K139" s="18"/>
      <c r="L139" s="18"/>
      <c r="M139" s="17"/>
      <c r="N139" s="18"/>
      <c r="O139" s="18"/>
      <c r="P139" s="17"/>
      <c r="Q139" s="19"/>
      <c r="R139" s="18"/>
    </row>
    <row r="140" spans="1:18" x14ac:dyDescent="0.25">
      <c r="A140" s="16"/>
      <c r="B140" s="16"/>
      <c r="C140" s="16"/>
      <c r="D140" s="16"/>
      <c r="E140" s="18"/>
      <c r="F140" s="18"/>
      <c r="G140" s="18"/>
      <c r="H140" s="18"/>
      <c r="I140" s="18"/>
      <c r="J140" s="20"/>
      <c r="K140" s="18"/>
      <c r="L140" s="18"/>
      <c r="M140" s="17"/>
      <c r="N140" s="18"/>
      <c r="O140" s="18"/>
      <c r="P140" s="17"/>
      <c r="Q140" s="19"/>
      <c r="R140" s="18"/>
    </row>
    <row r="141" spans="1:18" x14ac:dyDescent="0.25">
      <c r="A141" s="16"/>
      <c r="B141" s="16"/>
      <c r="C141" s="16"/>
      <c r="D141" s="16"/>
      <c r="E141" s="18"/>
      <c r="F141" s="18"/>
      <c r="G141" s="18"/>
      <c r="H141" s="18"/>
      <c r="I141" s="18"/>
      <c r="J141" s="20"/>
      <c r="K141" s="18"/>
      <c r="L141" s="18"/>
      <c r="M141" s="17"/>
      <c r="N141" s="18"/>
      <c r="O141" s="18"/>
      <c r="P141" s="17"/>
      <c r="Q141" s="19"/>
      <c r="R141" s="18"/>
    </row>
    <row r="142" spans="1:18" x14ac:dyDescent="0.25">
      <c r="A142" s="16"/>
      <c r="B142" s="16"/>
      <c r="C142" s="16"/>
      <c r="D142" s="16"/>
      <c r="E142" s="18"/>
      <c r="F142" s="18"/>
      <c r="G142" s="18"/>
      <c r="H142" s="18"/>
      <c r="I142" s="18"/>
      <c r="J142" s="20"/>
      <c r="K142" s="18"/>
      <c r="L142" s="18"/>
      <c r="M142" s="17"/>
      <c r="N142" s="18"/>
      <c r="O142" s="18"/>
      <c r="P142" s="17"/>
      <c r="Q142" s="19"/>
      <c r="R142" s="18"/>
    </row>
    <row r="143" spans="1:18" x14ac:dyDescent="0.25">
      <c r="A143" s="16"/>
      <c r="B143" s="16"/>
      <c r="C143" s="16"/>
      <c r="D143" s="16"/>
      <c r="E143" s="18"/>
      <c r="F143" s="18"/>
      <c r="G143" s="18"/>
      <c r="H143" s="18"/>
      <c r="I143" s="18"/>
      <c r="J143" s="20"/>
      <c r="K143" s="18"/>
      <c r="L143" s="18"/>
      <c r="M143" s="17"/>
      <c r="N143" s="18"/>
      <c r="O143" s="18"/>
      <c r="P143" s="17"/>
      <c r="Q143" s="19"/>
      <c r="R143" s="18"/>
    </row>
    <row r="144" spans="1:18" ht="18" customHeight="1" x14ac:dyDescent="0.25">
      <c r="A144" s="89" t="s">
        <v>45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1"/>
    </row>
    <row r="145" spans="1:18" ht="18.75" customHeight="1" x14ac:dyDescent="0.25">
      <c r="A145" s="86" t="s">
        <v>4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1:18" ht="18" customHeight="1" x14ac:dyDescent="0.25">
      <c r="A146" s="87" t="s">
        <v>29</v>
      </c>
      <c r="B146" s="82" t="s">
        <v>0</v>
      </c>
      <c r="C146" s="87" t="s">
        <v>38</v>
      </c>
      <c r="D146" s="82" t="s">
        <v>82</v>
      </c>
      <c r="E146" s="82" t="s">
        <v>2</v>
      </c>
      <c r="F146" s="83" t="s">
        <v>67</v>
      </c>
      <c r="G146" s="83" t="s">
        <v>68</v>
      </c>
      <c r="H146" s="83" t="s">
        <v>69</v>
      </c>
      <c r="I146" s="82" t="s">
        <v>3</v>
      </c>
      <c r="J146" s="15"/>
      <c r="K146" s="8" t="s">
        <v>70</v>
      </c>
      <c r="L146" s="8"/>
      <c r="M146" s="8"/>
      <c r="N146" s="8"/>
      <c r="O146" s="82" t="s">
        <v>71</v>
      </c>
      <c r="P146" s="82"/>
      <c r="Q146" s="82"/>
      <c r="R146" s="82"/>
    </row>
    <row r="147" spans="1:18" ht="15" customHeight="1" x14ac:dyDescent="0.25">
      <c r="A147" s="87"/>
      <c r="B147" s="82"/>
      <c r="C147" s="87"/>
      <c r="D147" s="82"/>
      <c r="E147" s="82"/>
      <c r="F147" s="84"/>
      <c r="G147" s="84"/>
      <c r="H147" s="84"/>
      <c r="I147" s="82"/>
      <c r="J147" s="15"/>
      <c r="K147" s="30" t="s">
        <v>30</v>
      </c>
      <c r="L147" s="24" t="s">
        <v>31</v>
      </c>
      <c r="M147" s="24" t="s">
        <v>32</v>
      </c>
      <c r="N147" s="24" t="s">
        <v>33</v>
      </c>
      <c r="O147" s="24" t="s">
        <v>34</v>
      </c>
      <c r="P147" s="24" t="s">
        <v>77</v>
      </c>
      <c r="Q147" s="24" t="s">
        <v>36</v>
      </c>
      <c r="R147" s="24" t="s">
        <v>37</v>
      </c>
    </row>
    <row r="148" spans="1:18" ht="24.75" customHeight="1" x14ac:dyDescent="0.25">
      <c r="A148" s="52">
        <v>174</v>
      </c>
      <c r="B148" s="60">
        <v>1</v>
      </c>
      <c r="C148" s="61" t="s">
        <v>117</v>
      </c>
      <c r="D148" s="62" t="s">
        <v>90</v>
      </c>
      <c r="E148" s="78">
        <v>25.6</v>
      </c>
      <c r="F148" s="52">
        <v>132.79</v>
      </c>
      <c r="G148" s="52">
        <v>9.93</v>
      </c>
      <c r="H148" s="52">
        <v>35.47</v>
      </c>
      <c r="I148" s="60">
        <v>258.76</v>
      </c>
      <c r="J148" s="27"/>
      <c r="K148" s="1">
        <v>146.61000000000001</v>
      </c>
      <c r="L148" s="1">
        <v>32.99</v>
      </c>
      <c r="M148" s="1">
        <v>218.51</v>
      </c>
      <c r="N148" s="2">
        <v>0</v>
      </c>
      <c r="O148" s="2">
        <v>0.05</v>
      </c>
      <c r="P148" s="2">
        <v>0.1</v>
      </c>
      <c r="Q148" s="2">
        <v>1.07</v>
      </c>
      <c r="R148" s="2">
        <v>0.87</v>
      </c>
    </row>
    <row r="149" spans="1:18" ht="18" customHeight="1" x14ac:dyDescent="0.25">
      <c r="A149" s="48"/>
      <c r="B149" s="1" t="s">
        <v>8</v>
      </c>
      <c r="C149" s="5" t="s">
        <v>76</v>
      </c>
      <c r="D149" s="1">
        <v>80</v>
      </c>
      <c r="E149" s="2">
        <v>5.87</v>
      </c>
      <c r="F149" s="2">
        <v>6.32</v>
      </c>
      <c r="G149" s="2">
        <v>0.8</v>
      </c>
      <c r="H149" s="2">
        <v>38.64</v>
      </c>
      <c r="I149" s="3">
        <v>187</v>
      </c>
      <c r="J149" s="72"/>
      <c r="K149" s="3">
        <v>18.399999999999999</v>
      </c>
      <c r="L149" s="3">
        <v>26.4</v>
      </c>
      <c r="M149" s="3">
        <v>69.599999999999994</v>
      </c>
      <c r="N149" s="2">
        <v>0.88</v>
      </c>
      <c r="O149" s="2">
        <v>0</v>
      </c>
      <c r="P149" s="2">
        <v>0.08</v>
      </c>
      <c r="Q149" s="2">
        <v>0.2</v>
      </c>
      <c r="R149" s="2">
        <v>0.2</v>
      </c>
    </row>
    <row r="150" spans="1:18" ht="18" customHeight="1" x14ac:dyDescent="0.25">
      <c r="A150" s="28">
        <v>15</v>
      </c>
      <c r="B150" s="1" t="s">
        <v>9</v>
      </c>
      <c r="C150" s="27" t="s">
        <v>107</v>
      </c>
      <c r="D150" s="32">
        <v>10</v>
      </c>
      <c r="E150" s="35">
        <v>9.6</v>
      </c>
      <c r="F150" s="35">
        <v>2.3199999999999998</v>
      </c>
      <c r="G150" s="35">
        <v>2.95</v>
      </c>
      <c r="H150" s="74">
        <v>0</v>
      </c>
      <c r="I150" s="35">
        <v>35.83</v>
      </c>
      <c r="J150" s="68"/>
      <c r="K150" s="35">
        <v>88</v>
      </c>
      <c r="L150" s="35">
        <v>3.5</v>
      </c>
      <c r="M150" s="35">
        <v>50</v>
      </c>
      <c r="N150" s="35">
        <v>0.1</v>
      </c>
      <c r="O150" s="35">
        <v>26</v>
      </c>
      <c r="P150" s="74">
        <v>0</v>
      </c>
      <c r="Q150" s="74">
        <v>0</v>
      </c>
      <c r="R150" s="74">
        <v>0</v>
      </c>
    </row>
    <row r="151" spans="1:18" ht="18" customHeight="1" x14ac:dyDescent="0.25">
      <c r="A151" s="1">
        <v>377</v>
      </c>
      <c r="B151" s="1" t="s">
        <v>13</v>
      </c>
      <c r="C151" s="27" t="s">
        <v>26</v>
      </c>
      <c r="D151" s="1">
        <v>200</v>
      </c>
      <c r="E151" s="2">
        <v>4.4400000000000004</v>
      </c>
      <c r="F151" s="2">
        <v>0.2</v>
      </c>
      <c r="G151" s="2">
        <v>0</v>
      </c>
      <c r="H151" s="2">
        <v>16</v>
      </c>
      <c r="I151" s="3">
        <v>65</v>
      </c>
      <c r="J151" s="72"/>
      <c r="K151" s="3">
        <v>225.1</v>
      </c>
      <c r="L151" s="3">
        <v>198.2</v>
      </c>
      <c r="M151" s="3">
        <v>371.1</v>
      </c>
      <c r="N151" s="2">
        <v>36.799999999999997</v>
      </c>
      <c r="O151" s="2">
        <v>0</v>
      </c>
      <c r="P151" s="2">
        <v>1.1000000000000001</v>
      </c>
      <c r="Q151" s="2">
        <v>3.6</v>
      </c>
      <c r="R151" s="2">
        <v>7.3</v>
      </c>
    </row>
    <row r="152" spans="1:18" x14ac:dyDescent="0.25">
      <c r="A152" s="81" t="s">
        <v>11</v>
      </c>
      <c r="B152" s="81"/>
      <c r="C152" s="81"/>
      <c r="D152" s="30">
        <v>550</v>
      </c>
      <c r="E152" s="13">
        <f>SUM(E147:E151)</f>
        <v>45.51</v>
      </c>
      <c r="F152" s="13">
        <f>SUM(F147:F151)</f>
        <v>141.62999999999997</v>
      </c>
      <c r="G152" s="13">
        <f>SUM(G147:G151)</f>
        <v>13.68</v>
      </c>
      <c r="H152" s="13">
        <f>SUM(H147:H151)</f>
        <v>90.11</v>
      </c>
      <c r="I152" s="14">
        <f>SUM(I147:I151)</f>
        <v>546.58999999999992</v>
      </c>
      <c r="J152" s="72"/>
      <c r="K152" s="14">
        <f t="shared" ref="K152:R152" si="15">SUM(K148:K151)</f>
        <v>478.11</v>
      </c>
      <c r="L152" s="14">
        <f t="shared" si="15"/>
        <v>261.08999999999997</v>
      </c>
      <c r="M152" s="14">
        <f t="shared" si="15"/>
        <v>709.21</v>
      </c>
      <c r="N152" s="13">
        <f t="shared" si="15"/>
        <v>37.779999999999994</v>
      </c>
      <c r="O152" s="13">
        <f t="shared" si="15"/>
        <v>26.05</v>
      </c>
      <c r="P152" s="13">
        <f t="shared" si="15"/>
        <v>1.28</v>
      </c>
      <c r="Q152" s="13">
        <f t="shared" si="15"/>
        <v>4.87</v>
      </c>
      <c r="R152" s="13">
        <f t="shared" si="15"/>
        <v>8.3699999999999992</v>
      </c>
    </row>
    <row r="153" spans="1:18" ht="18" customHeight="1" x14ac:dyDescent="0.25">
      <c r="A153" s="86" t="s">
        <v>12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1:18" ht="18" customHeight="1" x14ac:dyDescent="0.25">
      <c r="A154" s="87" t="s">
        <v>29</v>
      </c>
      <c r="B154" s="82" t="s">
        <v>0</v>
      </c>
      <c r="C154" s="87" t="s">
        <v>38</v>
      </c>
      <c r="D154" s="82" t="s">
        <v>82</v>
      </c>
      <c r="E154" s="82" t="s">
        <v>2</v>
      </c>
      <c r="F154" s="83" t="s">
        <v>67</v>
      </c>
      <c r="G154" s="83" t="s">
        <v>68</v>
      </c>
      <c r="H154" s="83" t="s">
        <v>69</v>
      </c>
      <c r="I154" s="82" t="s">
        <v>3</v>
      </c>
      <c r="J154" s="15"/>
      <c r="K154" s="8" t="s">
        <v>70</v>
      </c>
      <c r="L154" s="8"/>
      <c r="M154" s="8"/>
      <c r="N154" s="8"/>
      <c r="O154" s="82" t="s">
        <v>71</v>
      </c>
      <c r="P154" s="82"/>
      <c r="Q154" s="82"/>
      <c r="R154" s="82"/>
    </row>
    <row r="155" spans="1:18" ht="15" customHeight="1" x14ac:dyDescent="0.25">
      <c r="A155" s="87"/>
      <c r="B155" s="82"/>
      <c r="C155" s="87"/>
      <c r="D155" s="82"/>
      <c r="E155" s="82"/>
      <c r="F155" s="84"/>
      <c r="G155" s="84"/>
      <c r="H155" s="84"/>
      <c r="I155" s="82"/>
      <c r="J155" s="15"/>
      <c r="K155" s="30" t="s">
        <v>30</v>
      </c>
      <c r="L155" s="24" t="s">
        <v>31</v>
      </c>
      <c r="M155" s="24" t="s">
        <v>32</v>
      </c>
      <c r="N155" s="24" t="s">
        <v>33</v>
      </c>
      <c r="O155" s="24" t="s">
        <v>34</v>
      </c>
      <c r="P155" s="24" t="s">
        <v>77</v>
      </c>
      <c r="Q155" s="24" t="s">
        <v>36</v>
      </c>
      <c r="R155" s="24" t="s">
        <v>37</v>
      </c>
    </row>
    <row r="156" spans="1:18" ht="21" customHeight="1" x14ac:dyDescent="0.25">
      <c r="A156" s="28">
        <v>71</v>
      </c>
      <c r="B156" s="1" t="s">
        <v>7</v>
      </c>
      <c r="C156" s="5" t="s">
        <v>88</v>
      </c>
      <c r="D156" s="1">
        <v>100</v>
      </c>
      <c r="E156" s="1">
        <v>15.78</v>
      </c>
      <c r="F156" s="67">
        <v>0.8</v>
      </c>
      <c r="G156" s="67">
        <v>0</v>
      </c>
      <c r="H156" s="67">
        <v>3.3</v>
      </c>
      <c r="I156" s="2">
        <v>16</v>
      </c>
      <c r="J156" s="49"/>
      <c r="K156" s="2">
        <v>23</v>
      </c>
      <c r="L156" s="2">
        <v>0</v>
      </c>
      <c r="M156" s="2">
        <v>0</v>
      </c>
      <c r="N156" s="2">
        <v>0.5</v>
      </c>
      <c r="O156" s="2">
        <v>0</v>
      </c>
      <c r="P156" s="2">
        <v>0</v>
      </c>
      <c r="Q156" s="2">
        <v>0</v>
      </c>
      <c r="R156" s="2">
        <v>5</v>
      </c>
    </row>
    <row r="157" spans="1:18" ht="25.5" customHeight="1" x14ac:dyDescent="0.25">
      <c r="A157" s="1">
        <v>88</v>
      </c>
      <c r="B157" s="1" t="s">
        <v>8</v>
      </c>
      <c r="C157" s="4" t="s">
        <v>19</v>
      </c>
      <c r="D157" s="32">
        <v>250</v>
      </c>
      <c r="E157" s="1">
        <v>10.77</v>
      </c>
      <c r="F157" s="2">
        <v>1.6</v>
      </c>
      <c r="G157" s="2">
        <v>4.9000000000000004</v>
      </c>
      <c r="H157" s="2">
        <v>11.5</v>
      </c>
      <c r="I157" s="2">
        <v>96.8</v>
      </c>
      <c r="J157" s="69"/>
      <c r="K157" s="2">
        <v>75.2</v>
      </c>
      <c r="L157" s="2">
        <v>14.7</v>
      </c>
      <c r="M157" s="2">
        <v>34.200000000000003</v>
      </c>
      <c r="N157" s="2">
        <v>1.0249999999999999</v>
      </c>
      <c r="O157" s="2">
        <v>1</v>
      </c>
      <c r="P157" s="2">
        <v>5.5</v>
      </c>
      <c r="Q157" s="2">
        <v>0.6</v>
      </c>
      <c r="R157" s="2">
        <v>9.5</v>
      </c>
    </row>
    <row r="158" spans="1:18" ht="18" customHeight="1" x14ac:dyDescent="0.25">
      <c r="A158" s="1">
        <v>234</v>
      </c>
      <c r="B158" s="1" t="s">
        <v>9</v>
      </c>
      <c r="C158" s="6" t="s">
        <v>58</v>
      </c>
      <c r="D158" s="32" t="s">
        <v>110</v>
      </c>
      <c r="E158" s="1">
        <v>33.58</v>
      </c>
      <c r="F158" s="2">
        <v>14.8</v>
      </c>
      <c r="G158" s="2">
        <v>18.8</v>
      </c>
      <c r="H158" s="2">
        <v>11.6</v>
      </c>
      <c r="I158" s="2">
        <v>274</v>
      </c>
      <c r="J158" s="69"/>
      <c r="K158" s="2">
        <v>139.30000000000001</v>
      </c>
      <c r="L158" s="2">
        <v>0</v>
      </c>
      <c r="M158" s="2">
        <v>0</v>
      </c>
      <c r="N158" s="2">
        <v>1</v>
      </c>
      <c r="O158" s="2">
        <v>0</v>
      </c>
      <c r="P158" s="2">
        <v>0.2</v>
      </c>
      <c r="Q158" s="2">
        <v>0</v>
      </c>
      <c r="R158" s="2">
        <v>6.8</v>
      </c>
    </row>
    <row r="159" spans="1:18" ht="18" customHeight="1" x14ac:dyDescent="0.25">
      <c r="A159" s="1">
        <v>142</v>
      </c>
      <c r="B159" s="1" t="s">
        <v>13</v>
      </c>
      <c r="C159" s="45" t="s">
        <v>73</v>
      </c>
      <c r="D159" s="1" t="s">
        <v>115</v>
      </c>
      <c r="E159" s="2">
        <v>18.03</v>
      </c>
      <c r="F159" s="2">
        <v>3.6</v>
      </c>
      <c r="G159" s="2">
        <v>9.5399999999999991</v>
      </c>
      <c r="H159" s="2">
        <v>35.76</v>
      </c>
      <c r="I159" s="2">
        <v>243.36</v>
      </c>
      <c r="J159" s="49"/>
      <c r="K159" s="2">
        <v>35.76</v>
      </c>
      <c r="L159" s="2">
        <v>0</v>
      </c>
      <c r="M159" s="2">
        <v>0</v>
      </c>
      <c r="N159" s="2">
        <v>1.92</v>
      </c>
      <c r="O159" s="2">
        <v>0</v>
      </c>
      <c r="P159" s="2">
        <v>0.48</v>
      </c>
      <c r="Q159" s="2">
        <v>0</v>
      </c>
      <c r="R159" s="2">
        <v>43.08</v>
      </c>
    </row>
    <row r="160" spans="1:18" ht="18" customHeight="1" x14ac:dyDescent="0.25">
      <c r="A160" s="1">
        <v>349</v>
      </c>
      <c r="B160" s="1" t="s">
        <v>14</v>
      </c>
      <c r="C160" s="4" t="s">
        <v>83</v>
      </c>
      <c r="D160" s="1">
        <v>200</v>
      </c>
      <c r="E160" s="2">
        <v>7.02</v>
      </c>
      <c r="F160" s="2">
        <v>0.6</v>
      </c>
      <c r="G160" s="2">
        <v>0.09</v>
      </c>
      <c r="H160" s="2">
        <v>32.01</v>
      </c>
      <c r="I160" s="2">
        <v>132.80000000000001</v>
      </c>
      <c r="J160" s="49"/>
      <c r="K160" s="2">
        <v>32.479999999999997</v>
      </c>
      <c r="L160" s="2">
        <v>17.46</v>
      </c>
      <c r="M160" s="2">
        <v>23.44</v>
      </c>
      <c r="N160" s="2">
        <v>0.7</v>
      </c>
      <c r="O160" s="2">
        <v>0</v>
      </c>
      <c r="P160" s="2">
        <v>0.02</v>
      </c>
      <c r="Q160" s="2">
        <v>0.26</v>
      </c>
      <c r="R160" s="2">
        <v>0.73</v>
      </c>
    </row>
    <row r="161" spans="1:18" ht="18" customHeight="1" x14ac:dyDescent="0.25">
      <c r="A161" s="1"/>
      <c r="B161" s="1" t="s">
        <v>15</v>
      </c>
      <c r="C161" s="4" t="s">
        <v>95</v>
      </c>
      <c r="D161" s="32">
        <v>40</v>
      </c>
      <c r="E161" s="2">
        <v>2.93</v>
      </c>
      <c r="F161" s="2">
        <v>2.2400000000000002</v>
      </c>
      <c r="G161" s="2">
        <v>0.44000000000000006</v>
      </c>
      <c r="H161" s="2">
        <v>19.759999999999998</v>
      </c>
      <c r="I161" s="2">
        <v>91.960000000000008</v>
      </c>
      <c r="J161" s="49"/>
      <c r="K161" s="2">
        <v>9.1999999999999993</v>
      </c>
      <c r="L161" s="2">
        <v>10</v>
      </c>
      <c r="M161" s="2">
        <v>42.4</v>
      </c>
      <c r="N161" s="2">
        <v>1.24</v>
      </c>
      <c r="O161" s="2">
        <v>0</v>
      </c>
      <c r="P161" s="2">
        <v>0.04</v>
      </c>
      <c r="Q161" s="2">
        <v>0</v>
      </c>
      <c r="R161" s="2">
        <v>0</v>
      </c>
    </row>
    <row r="162" spans="1:18" ht="18" customHeight="1" x14ac:dyDescent="0.25">
      <c r="A162" s="1"/>
      <c r="B162" s="1" t="s">
        <v>78</v>
      </c>
      <c r="C162" s="27" t="s">
        <v>80</v>
      </c>
      <c r="D162" s="32">
        <v>70</v>
      </c>
      <c r="E162" s="35">
        <v>5.13</v>
      </c>
      <c r="F162" s="2">
        <v>5.53</v>
      </c>
      <c r="G162" s="2">
        <v>0.7</v>
      </c>
      <c r="H162" s="2">
        <v>33.81</v>
      </c>
      <c r="I162" s="2">
        <v>163.66</v>
      </c>
      <c r="J162" s="49"/>
      <c r="K162" s="2">
        <v>16.100000000000001</v>
      </c>
      <c r="L162" s="2">
        <v>23.1</v>
      </c>
      <c r="M162" s="2">
        <v>60.9</v>
      </c>
      <c r="N162" s="2">
        <v>0.77</v>
      </c>
      <c r="O162" s="2">
        <v>0</v>
      </c>
      <c r="P162" s="2">
        <v>7.0000000000000007E-2</v>
      </c>
      <c r="Q162" s="2">
        <v>0</v>
      </c>
      <c r="R162" s="2">
        <v>0</v>
      </c>
    </row>
    <row r="163" spans="1:18" ht="18" customHeight="1" x14ac:dyDescent="0.25">
      <c r="A163" s="1">
        <v>386</v>
      </c>
      <c r="B163" s="1" t="s">
        <v>91</v>
      </c>
      <c r="C163" s="27" t="s">
        <v>92</v>
      </c>
      <c r="D163" s="1">
        <v>100</v>
      </c>
      <c r="E163" s="2">
        <v>12.36</v>
      </c>
      <c r="F163" s="2">
        <v>3</v>
      </c>
      <c r="G163" s="2">
        <v>1</v>
      </c>
      <c r="H163" s="2">
        <v>4.2</v>
      </c>
      <c r="I163" s="2">
        <v>40</v>
      </c>
      <c r="J163" s="49"/>
      <c r="K163" s="2">
        <v>124</v>
      </c>
      <c r="L163" s="2">
        <v>14</v>
      </c>
      <c r="M163" s="2">
        <v>92</v>
      </c>
      <c r="N163" s="2">
        <v>0.1</v>
      </c>
      <c r="O163" s="2">
        <v>0</v>
      </c>
      <c r="P163" s="2">
        <v>0.03</v>
      </c>
      <c r="Q163" s="2">
        <v>0.1</v>
      </c>
      <c r="R163" s="2">
        <v>0.3</v>
      </c>
    </row>
    <row r="164" spans="1:18" ht="18" customHeight="1" x14ac:dyDescent="0.25">
      <c r="A164" s="81" t="s">
        <v>11</v>
      </c>
      <c r="B164" s="81"/>
      <c r="C164" s="81"/>
      <c r="D164" s="24">
        <v>1045</v>
      </c>
      <c r="E164" s="13">
        <f t="shared" ref="E164:R164" si="16">SUM(E156:E163)</f>
        <v>105.6</v>
      </c>
      <c r="F164" s="13">
        <f t="shared" si="16"/>
        <v>32.170000000000009</v>
      </c>
      <c r="G164" s="13">
        <f t="shared" si="16"/>
        <v>35.470000000000006</v>
      </c>
      <c r="H164" s="13">
        <f t="shared" si="16"/>
        <v>151.93999999999997</v>
      </c>
      <c r="I164" s="13">
        <f t="shared" si="16"/>
        <v>1058.58</v>
      </c>
      <c r="J164" s="13">
        <f t="shared" si="16"/>
        <v>0</v>
      </c>
      <c r="K164" s="13">
        <f t="shared" si="16"/>
        <v>455.04</v>
      </c>
      <c r="L164" s="13">
        <f t="shared" si="16"/>
        <v>79.259999999999991</v>
      </c>
      <c r="M164" s="13">
        <f t="shared" si="16"/>
        <v>252.94</v>
      </c>
      <c r="N164" s="13">
        <f t="shared" si="16"/>
        <v>7.2550000000000008</v>
      </c>
      <c r="O164" s="13">
        <f t="shared" si="16"/>
        <v>1</v>
      </c>
      <c r="P164" s="13">
        <f t="shared" si="16"/>
        <v>6.34</v>
      </c>
      <c r="Q164" s="13">
        <f t="shared" si="16"/>
        <v>0.96</v>
      </c>
      <c r="R164" s="13">
        <f t="shared" si="16"/>
        <v>65.41</v>
      </c>
    </row>
    <row r="165" spans="1:18" ht="18" customHeight="1" x14ac:dyDescent="0.25">
      <c r="A165" s="85" t="s">
        <v>17</v>
      </c>
      <c r="B165" s="85"/>
      <c r="C165" s="85"/>
      <c r="D165" s="85"/>
      <c r="E165" s="13">
        <f>E152+E164</f>
        <v>151.10999999999999</v>
      </c>
      <c r="F165" s="13">
        <f>F152+F164</f>
        <v>173.79999999999998</v>
      </c>
      <c r="G165" s="13">
        <f>G152+G164</f>
        <v>49.150000000000006</v>
      </c>
      <c r="H165" s="13">
        <f>H152+H164</f>
        <v>242.04999999999995</v>
      </c>
      <c r="I165" s="13">
        <f>I152+I164</f>
        <v>1605.1699999999998</v>
      </c>
      <c r="J165" s="49"/>
      <c r="K165" s="13">
        <f t="shared" ref="K165:R165" si="17">K152+K164</f>
        <v>933.15000000000009</v>
      </c>
      <c r="L165" s="13">
        <f t="shared" si="17"/>
        <v>340.34999999999997</v>
      </c>
      <c r="M165" s="13">
        <f t="shared" si="17"/>
        <v>962.15000000000009</v>
      </c>
      <c r="N165" s="13">
        <f t="shared" si="17"/>
        <v>45.034999999999997</v>
      </c>
      <c r="O165" s="13">
        <f t="shared" si="17"/>
        <v>27.05</v>
      </c>
      <c r="P165" s="13">
        <f t="shared" si="17"/>
        <v>7.62</v>
      </c>
      <c r="Q165" s="13">
        <f t="shared" si="17"/>
        <v>5.83</v>
      </c>
      <c r="R165" s="13">
        <f t="shared" si="17"/>
        <v>73.78</v>
      </c>
    </row>
    <row r="166" spans="1:18" x14ac:dyDescent="0.25">
      <c r="A166" s="16"/>
      <c r="B166" s="16"/>
      <c r="C166" s="16"/>
      <c r="D166" s="16"/>
      <c r="E166" s="18"/>
      <c r="F166" s="18"/>
      <c r="G166" s="18"/>
      <c r="H166" s="18"/>
      <c r="I166" s="18"/>
      <c r="J166" s="20"/>
      <c r="K166" s="18"/>
      <c r="L166" s="18"/>
      <c r="M166" s="18"/>
      <c r="N166" s="17"/>
      <c r="O166" s="18"/>
      <c r="P166" s="17"/>
      <c r="Q166" s="17"/>
      <c r="R166" s="18"/>
    </row>
    <row r="167" spans="1:18" x14ac:dyDescent="0.25">
      <c r="A167" s="16"/>
      <c r="B167" s="16"/>
      <c r="C167" s="16"/>
      <c r="D167" s="16"/>
      <c r="E167" s="18"/>
      <c r="F167" s="18"/>
      <c r="G167" s="18"/>
      <c r="H167" s="18"/>
      <c r="I167" s="18"/>
      <c r="J167" s="20"/>
      <c r="K167" s="18"/>
      <c r="L167" s="18"/>
      <c r="M167" s="18"/>
      <c r="N167" s="17"/>
      <c r="O167" s="18"/>
      <c r="P167" s="17"/>
      <c r="Q167" s="17"/>
      <c r="R167" s="18"/>
    </row>
    <row r="168" spans="1:18" x14ac:dyDescent="0.25">
      <c r="A168" s="16"/>
      <c r="B168" s="16"/>
      <c r="C168" s="16"/>
      <c r="D168" s="16"/>
      <c r="E168" s="18"/>
      <c r="F168" s="18"/>
      <c r="G168" s="18"/>
      <c r="H168" s="18"/>
      <c r="I168" s="18"/>
      <c r="J168" s="20"/>
      <c r="K168" s="18"/>
      <c r="L168" s="18"/>
      <c r="M168" s="18"/>
      <c r="N168" s="17"/>
      <c r="O168" s="18"/>
      <c r="P168" s="17"/>
      <c r="Q168" s="17"/>
      <c r="R168" s="18"/>
    </row>
    <row r="169" spans="1:18" x14ac:dyDescent="0.25">
      <c r="A169" s="16"/>
      <c r="B169" s="16"/>
      <c r="C169" s="16"/>
      <c r="D169" s="16"/>
      <c r="E169" s="18"/>
      <c r="F169" s="18"/>
      <c r="G169" s="18"/>
      <c r="H169" s="18"/>
      <c r="I169" s="18"/>
      <c r="J169" s="20"/>
      <c r="K169" s="18"/>
      <c r="L169" s="18"/>
      <c r="M169" s="18"/>
      <c r="N169" s="17"/>
      <c r="O169" s="18"/>
      <c r="P169" s="17"/>
      <c r="Q169" s="17"/>
      <c r="R169" s="18"/>
    </row>
    <row r="170" spans="1:18" x14ac:dyDescent="0.25">
      <c r="A170" s="16"/>
      <c r="B170" s="16"/>
      <c r="C170" s="16"/>
      <c r="D170" s="16"/>
      <c r="E170" s="18"/>
      <c r="F170" s="18"/>
      <c r="G170" s="18"/>
      <c r="H170" s="18"/>
      <c r="I170" s="18"/>
      <c r="J170" s="20"/>
      <c r="K170" s="18"/>
      <c r="L170" s="18"/>
      <c r="M170" s="18"/>
      <c r="N170" s="17"/>
      <c r="O170" s="18"/>
      <c r="P170" s="17"/>
      <c r="Q170" s="17"/>
      <c r="R170" s="18"/>
    </row>
    <row r="171" spans="1:18" x14ac:dyDescent="0.25">
      <c r="A171" s="16"/>
      <c r="B171" s="16"/>
      <c r="C171" s="16"/>
      <c r="D171" s="16"/>
      <c r="E171" s="18"/>
      <c r="F171" s="18"/>
      <c r="G171" s="18"/>
      <c r="H171" s="18"/>
      <c r="I171" s="18"/>
      <c r="J171" s="20"/>
      <c r="K171" s="18"/>
      <c r="L171" s="18"/>
      <c r="M171" s="18"/>
      <c r="N171" s="17"/>
      <c r="O171" s="18"/>
      <c r="P171" s="17"/>
      <c r="Q171" s="17"/>
      <c r="R171" s="18"/>
    </row>
    <row r="172" spans="1:18" ht="18" customHeight="1" x14ac:dyDescent="0.25">
      <c r="A172" s="89" t="s">
        <v>46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1"/>
    </row>
    <row r="173" spans="1:18" ht="18.75" customHeight="1" x14ac:dyDescent="0.25">
      <c r="A173" s="86" t="s">
        <v>4</v>
      </c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1:18" ht="18" customHeight="1" x14ac:dyDescent="0.25">
      <c r="A174" s="87" t="s">
        <v>29</v>
      </c>
      <c r="B174" s="82" t="s">
        <v>0</v>
      </c>
      <c r="C174" s="87" t="s">
        <v>38</v>
      </c>
      <c r="D174" s="82" t="s">
        <v>82</v>
      </c>
      <c r="E174" s="82" t="s">
        <v>2</v>
      </c>
      <c r="F174" s="83" t="s">
        <v>67</v>
      </c>
      <c r="G174" s="83" t="s">
        <v>68</v>
      </c>
      <c r="H174" s="83" t="s">
        <v>69</v>
      </c>
      <c r="I174" s="82" t="s">
        <v>3</v>
      </c>
      <c r="J174" s="15"/>
      <c r="K174" s="8" t="s">
        <v>70</v>
      </c>
      <c r="L174" s="8"/>
      <c r="M174" s="8"/>
      <c r="N174" s="8"/>
      <c r="O174" s="82" t="s">
        <v>71</v>
      </c>
      <c r="P174" s="82"/>
      <c r="Q174" s="82"/>
      <c r="R174" s="82"/>
    </row>
    <row r="175" spans="1:18" ht="15" customHeight="1" x14ac:dyDescent="0.25">
      <c r="A175" s="87"/>
      <c r="B175" s="82"/>
      <c r="C175" s="87"/>
      <c r="D175" s="82"/>
      <c r="E175" s="82"/>
      <c r="F175" s="84"/>
      <c r="G175" s="84"/>
      <c r="H175" s="84"/>
      <c r="I175" s="82"/>
      <c r="J175" s="15"/>
      <c r="K175" s="30" t="s">
        <v>30</v>
      </c>
      <c r="L175" s="24" t="s">
        <v>31</v>
      </c>
      <c r="M175" s="24" t="s">
        <v>32</v>
      </c>
      <c r="N175" s="24" t="s">
        <v>33</v>
      </c>
      <c r="O175" s="24" t="s">
        <v>34</v>
      </c>
      <c r="P175" s="24" t="s">
        <v>77</v>
      </c>
      <c r="Q175" s="24" t="s">
        <v>36</v>
      </c>
      <c r="R175" s="24" t="s">
        <v>37</v>
      </c>
    </row>
    <row r="176" spans="1:18" ht="18" customHeight="1" x14ac:dyDescent="0.25">
      <c r="A176" s="1">
        <v>210</v>
      </c>
      <c r="B176" s="32" t="s">
        <v>7</v>
      </c>
      <c r="C176" s="45" t="s">
        <v>42</v>
      </c>
      <c r="D176" s="1">
        <v>250</v>
      </c>
      <c r="E176" s="2">
        <v>77.37</v>
      </c>
      <c r="F176" s="2">
        <f>13.7*250/200</f>
        <v>17.125</v>
      </c>
      <c r="G176" s="2">
        <f>27.6*250/200</f>
        <v>34.5</v>
      </c>
      <c r="H176" s="2">
        <f>14.5*250/200</f>
        <v>18.125</v>
      </c>
      <c r="I176" s="2">
        <f>362.1*250/200</f>
        <v>452.625</v>
      </c>
      <c r="J176" s="49"/>
      <c r="K176" s="2">
        <f>113.9*250/200</f>
        <v>142.375</v>
      </c>
      <c r="L176" s="2">
        <f>19.5*250/200</f>
        <v>24.375</v>
      </c>
      <c r="M176" s="2">
        <f>259.8*250/200</f>
        <v>324.75</v>
      </c>
      <c r="N176" s="2">
        <f>3*250/200</f>
        <v>3.75</v>
      </c>
      <c r="O176" s="2">
        <f>339.8*250/200</f>
        <v>424.75</v>
      </c>
      <c r="P176" s="2">
        <f>0.2*250/200</f>
        <v>0.25</v>
      </c>
      <c r="Q176" s="2">
        <v>0</v>
      </c>
      <c r="R176" s="2">
        <f>0.3*250/200</f>
        <v>0.375</v>
      </c>
    </row>
    <row r="177" spans="1:18" ht="18" customHeight="1" x14ac:dyDescent="0.25">
      <c r="A177" s="1"/>
      <c r="B177" s="1" t="s">
        <v>8</v>
      </c>
      <c r="C177" s="31" t="s">
        <v>76</v>
      </c>
      <c r="D177" s="32">
        <v>40</v>
      </c>
      <c r="E177" s="35">
        <v>2.93</v>
      </c>
      <c r="F177" s="35">
        <v>3.16</v>
      </c>
      <c r="G177" s="35">
        <v>0.4</v>
      </c>
      <c r="H177" s="35">
        <v>19.32</v>
      </c>
      <c r="I177" s="35">
        <v>93.52</v>
      </c>
      <c r="J177" s="68"/>
      <c r="K177" s="35">
        <v>9.1999999999999993</v>
      </c>
      <c r="L177" s="35">
        <v>13.2</v>
      </c>
      <c r="M177" s="35">
        <v>34.799999999999997</v>
      </c>
      <c r="N177" s="35">
        <v>0.44</v>
      </c>
      <c r="O177" s="35">
        <v>0</v>
      </c>
      <c r="P177" s="35">
        <v>0.04</v>
      </c>
      <c r="Q177" s="35">
        <v>0.09</v>
      </c>
      <c r="R177" s="35">
        <v>0.1</v>
      </c>
    </row>
    <row r="178" spans="1:18" ht="18" customHeight="1" x14ac:dyDescent="0.25">
      <c r="A178" s="1"/>
      <c r="B178" s="1" t="s">
        <v>9</v>
      </c>
      <c r="C178" s="31" t="s">
        <v>94</v>
      </c>
      <c r="D178" s="32">
        <v>60</v>
      </c>
      <c r="E178" s="35">
        <v>13.2</v>
      </c>
      <c r="F178" s="35">
        <v>3</v>
      </c>
      <c r="G178" s="35">
        <v>2.33</v>
      </c>
      <c r="H178" s="35">
        <v>37.5</v>
      </c>
      <c r="I178" s="35">
        <v>183.33</v>
      </c>
      <c r="J178" s="68"/>
      <c r="K178" s="35">
        <v>5</v>
      </c>
      <c r="L178" s="35">
        <v>5</v>
      </c>
      <c r="M178" s="35">
        <v>25</v>
      </c>
      <c r="N178" s="35">
        <v>0.33</v>
      </c>
      <c r="O178" s="35">
        <v>0</v>
      </c>
      <c r="P178" s="35">
        <v>0.03</v>
      </c>
      <c r="Q178" s="35">
        <v>0.33</v>
      </c>
      <c r="R178" s="35">
        <v>0</v>
      </c>
    </row>
    <row r="179" spans="1:18" ht="18" customHeight="1" x14ac:dyDescent="0.25">
      <c r="A179" s="1">
        <v>376</v>
      </c>
      <c r="B179" s="1" t="s">
        <v>13</v>
      </c>
      <c r="C179" s="31" t="s">
        <v>16</v>
      </c>
      <c r="D179" s="1">
        <v>200</v>
      </c>
      <c r="E179" s="2">
        <v>1.88</v>
      </c>
      <c r="F179" s="2">
        <v>0.1</v>
      </c>
      <c r="G179" s="2">
        <v>0</v>
      </c>
      <c r="H179" s="2">
        <v>15</v>
      </c>
      <c r="I179" s="2">
        <v>60</v>
      </c>
      <c r="J179" s="49"/>
      <c r="K179" s="2">
        <v>5</v>
      </c>
      <c r="L179" s="2">
        <v>0</v>
      </c>
      <c r="M179" s="2">
        <v>0</v>
      </c>
      <c r="N179" s="2">
        <v>2</v>
      </c>
      <c r="O179" s="2">
        <v>0</v>
      </c>
      <c r="P179" s="2">
        <v>0</v>
      </c>
      <c r="Q179" s="2">
        <v>0</v>
      </c>
      <c r="R179" s="2">
        <v>0</v>
      </c>
    </row>
    <row r="180" spans="1:18" ht="18" customHeight="1" x14ac:dyDescent="0.25">
      <c r="A180" s="81" t="s">
        <v>11</v>
      </c>
      <c r="B180" s="81"/>
      <c r="C180" s="81"/>
      <c r="D180" s="24">
        <f t="shared" ref="D180:R180" si="18">SUM(D176:D179)</f>
        <v>550</v>
      </c>
      <c r="E180" s="13">
        <f t="shared" si="18"/>
        <v>95.38000000000001</v>
      </c>
      <c r="F180" s="13">
        <f t="shared" si="18"/>
        <v>23.385000000000002</v>
      </c>
      <c r="G180" s="13">
        <f t="shared" si="18"/>
        <v>37.229999999999997</v>
      </c>
      <c r="H180" s="13">
        <f t="shared" si="18"/>
        <v>89.944999999999993</v>
      </c>
      <c r="I180" s="13">
        <f t="shared" si="18"/>
        <v>789.47500000000002</v>
      </c>
      <c r="J180" s="13">
        <f t="shared" si="18"/>
        <v>0</v>
      </c>
      <c r="K180" s="13">
        <f t="shared" si="18"/>
        <v>161.57499999999999</v>
      </c>
      <c r="L180" s="13">
        <f t="shared" si="18"/>
        <v>42.575000000000003</v>
      </c>
      <c r="M180" s="13">
        <f t="shared" si="18"/>
        <v>384.55</v>
      </c>
      <c r="N180" s="13">
        <f t="shared" si="18"/>
        <v>6.5200000000000005</v>
      </c>
      <c r="O180" s="13">
        <f t="shared" si="18"/>
        <v>424.75</v>
      </c>
      <c r="P180" s="13">
        <f t="shared" si="18"/>
        <v>0.31999999999999995</v>
      </c>
      <c r="Q180" s="13">
        <f t="shared" si="18"/>
        <v>0.42000000000000004</v>
      </c>
      <c r="R180" s="13">
        <f t="shared" si="18"/>
        <v>0.47499999999999998</v>
      </c>
    </row>
    <row r="181" spans="1:18" ht="18" customHeight="1" x14ac:dyDescent="0.25">
      <c r="A181" s="86" t="s">
        <v>12</v>
      </c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1:18" ht="18" customHeight="1" x14ac:dyDescent="0.25">
      <c r="A182" s="87" t="s">
        <v>29</v>
      </c>
      <c r="B182" s="82" t="s">
        <v>0</v>
      </c>
      <c r="C182" s="87" t="s">
        <v>38</v>
      </c>
      <c r="D182" s="82" t="s">
        <v>82</v>
      </c>
      <c r="E182" s="82" t="s">
        <v>2</v>
      </c>
      <c r="F182" s="83" t="s">
        <v>67</v>
      </c>
      <c r="G182" s="83" t="s">
        <v>68</v>
      </c>
      <c r="H182" s="83" t="s">
        <v>69</v>
      </c>
      <c r="I182" s="82" t="s">
        <v>3</v>
      </c>
      <c r="J182" s="15"/>
      <c r="K182" s="8" t="s">
        <v>70</v>
      </c>
      <c r="L182" s="8"/>
      <c r="M182" s="8"/>
      <c r="N182" s="8"/>
      <c r="O182" s="82" t="s">
        <v>71</v>
      </c>
      <c r="P182" s="82"/>
      <c r="Q182" s="82"/>
      <c r="R182" s="82"/>
    </row>
    <row r="183" spans="1:18" ht="15" customHeight="1" x14ac:dyDescent="0.25">
      <c r="A183" s="87"/>
      <c r="B183" s="82"/>
      <c r="C183" s="87"/>
      <c r="D183" s="82"/>
      <c r="E183" s="82"/>
      <c r="F183" s="84"/>
      <c r="G183" s="84"/>
      <c r="H183" s="84"/>
      <c r="I183" s="82"/>
      <c r="J183" s="15"/>
      <c r="K183" s="30" t="s">
        <v>30</v>
      </c>
      <c r="L183" s="24" t="s">
        <v>31</v>
      </c>
      <c r="M183" s="24" t="s">
        <v>32</v>
      </c>
      <c r="N183" s="24" t="s">
        <v>33</v>
      </c>
      <c r="O183" s="24" t="s">
        <v>34</v>
      </c>
      <c r="P183" s="24" t="s">
        <v>77</v>
      </c>
      <c r="Q183" s="24" t="s">
        <v>36</v>
      </c>
      <c r="R183" s="24" t="s">
        <v>37</v>
      </c>
    </row>
    <row r="184" spans="1:18" ht="18" customHeight="1" x14ac:dyDescent="0.25">
      <c r="A184" s="28">
        <v>52</v>
      </c>
      <c r="B184" s="1" t="s">
        <v>7</v>
      </c>
      <c r="C184" s="5" t="s">
        <v>89</v>
      </c>
      <c r="D184" s="1">
        <v>100</v>
      </c>
      <c r="E184" s="2">
        <v>8.3699999999999992</v>
      </c>
      <c r="F184" s="67">
        <v>1.7</v>
      </c>
      <c r="G184" s="67">
        <v>6</v>
      </c>
      <c r="H184" s="67">
        <v>11</v>
      </c>
      <c r="I184" s="2">
        <v>104</v>
      </c>
      <c r="J184" s="2"/>
      <c r="K184" s="2">
        <v>35.200000000000003</v>
      </c>
      <c r="L184" s="2">
        <v>20.8</v>
      </c>
      <c r="M184" s="2">
        <v>41</v>
      </c>
      <c r="N184" s="2">
        <v>1.3</v>
      </c>
      <c r="O184" s="2">
        <v>0</v>
      </c>
      <c r="P184" s="2">
        <v>0</v>
      </c>
      <c r="Q184" s="2">
        <v>0.2</v>
      </c>
      <c r="R184" s="2">
        <v>9.5</v>
      </c>
    </row>
    <row r="185" spans="1:18" ht="18.75" customHeight="1" x14ac:dyDescent="0.25">
      <c r="A185" s="1">
        <v>101</v>
      </c>
      <c r="B185" s="1" t="s">
        <v>8</v>
      </c>
      <c r="C185" s="5" t="s">
        <v>51</v>
      </c>
      <c r="D185" s="1">
        <v>250</v>
      </c>
      <c r="E185" s="2">
        <v>7.98</v>
      </c>
      <c r="F185" s="2">
        <f>2*250/200</f>
        <v>2.5</v>
      </c>
      <c r="G185" s="2">
        <f>2.7*250/200</f>
        <v>3.375</v>
      </c>
      <c r="H185" s="2">
        <f>20.9*250/200</f>
        <v>26.125</v>
      </c>
      <c r="I185" s="2">
        <f>116.3*250/200</f>
        <v>145.375</v>
      </c>
      <c r="J185" s="49"/>
      <c r="K185" s="2">
        <f>23.1*250/200</f>
        <v>28.875</v>
      </c>
      <c r="L185" s="2">
        <f>25*250/200</f>
        <v>31.25</v>
      </c>
      <c r="M185" s="2">
        <f>62.6*250/200</f>
        <v>78.25</v>
      </c>
      <c r="N185" s="2">
        <f>0.9*250/200</f>
        <v>1.125</v>
      </c>
      <c r="O185" s="2">
        <v>0</v>
      </c>
      <c r="P185" s="2">
        <f>0.1*250/200</f>
        <v>0.125</v>
      </c>
      <c r="Q185" s="2">
        <v>0</v>
      </c>
      <c r="R185" s="2">
        <f>8.25*250/200</f>
        <v>10.3125</v>
      </c>
    </row>
    <row r="186" spans="1:18" ht="18" customHeight="1" x14ac:dyDescent="0.25">
      <c r="A186" s="1">
        <v>260</v>
      </c>
      <c r="B186" s="1" t="s">
        <v>9</v>
      </c>
      <c r="C186" s="6" t="s">
        <v>122</v>
      </c>
      <c r="D186" s="32" t="s">
        <v>123</v>
      </c>
      <c r="E186" s="1">
        <v>128.16999999999999</v>
      </c>
      <c r="F186" s="1">
        <f>23.1*100/150</f>
        <v>15.4</v>
      </c>
      <c r="G186" s="3">
        <f>9.6*100/150</f>
        <v>6.4</v>
      </c>
      <c r="H186" s="1">
        <f>5.7*100/150</f>
        <v>3.8</v>
      </c>
      <c r="I186" s="3">
        <f>201*100/150</f>
        <v>134</v>
      </c>
      <c r="J186" s="79"/>
      <c r="K186" s="3">
        <f>23.7*100/150</f>
        <v>15.8</v>
      </c>
      <c r="L186" s="3">
        <f>25.2*100/150</f>
        <v>16.8</v>
      </c>
      <c r="M186" s="3">
        <f>188.4*100/150</f>
        <v>125.6</v>
      </c>
      <c r="N186" s="3">
        <f>2.1*100/150</f>
        <v>1.4</v>
      </c>
      <c r="O186" s="73">
        <v>0</v>
      </c>
      <c r="P186" s="3">
        <v>0.3</v>
      </c>
      <c r="Q186" s="73">
        <v>0</v>
      </c>
      <c r="R186" s="3">
        <v>1.2</v>
      </c>
    </row>
    <row r="187" spans="1:18" ht="18" customHeight="1" x14ac:dyDescent="0.25">
      <c r="A187" s="1">
        <v>309</v>
      </c>
      <c r="B187" s="32" t="s">
        <v>13</v>
      </c>
      <c r="C187" s="44" t="s">
        <v>105</v>
      </c>
      <c r="D187" s="32">
        <v>180</v>
      </c>
      <c r="E187" s="2">
        <v>11.92</v>
      </c>
      <c r="F187" s="2">
        <f>5.52*180/150</f>
        <v>6.6239999999999997</v>
      </c>
      <c r="G187" s="2">
        <f>4.5*180/150</f>
        <v>5.4</v>
      </c>
      <c r="H187" s="2">
        <f>26.45*180/150</f>
        <v>31.74</v>
      </c>
      <c r="I187" s="2">
        <f>168.45*180/150</f>
        <v>202.14</v>
      </c>
      <c r="J187" s="55"/>
      <c r="K187" s="2">
        <f>4.86*180/150</f>
        <v>5.8320000000000007</v>
      </c>
      <c r="L187" s="2">
        <f>21.12*180/150</f>
        <v>25.344000000000001</v>
      </c>
      <c r="M187" s="2">
        <f>37.17*180/150</f>
        <v>44.603999999999999</v>
      </c>
      <c r="N187" s="2">
        <f>1.1025*180/150</f>
        <v>1.3230000000000002</v>
      </c>
      <c r="O187" s="2">
        <v>0</v>
      </c>
      <c r="P187" s="2">
        <f>0.0525*180/150</f>
        <v>6.3E-2</v>
      </c>
      <c r="Q187" s="2">
        <f>0.78*180/150</f>
        <v>0.93600000000000005</v>
      </c>
      <c r="R187" s="2">
        <v>0</v>
      </c>
    </row>
    <row r="188" spans="1:18" ht="18" customHeight="1" x14ac:dyDescent="0.25">
      <c r="A188" s="1">
        <v>348</v>
      </c>
      <c r="B188" s="1" t="s">
        <v>14</v>
      </c>
      <c r="C188" s="4" t="s">
        <v>21</v>
      </c>
      <c r="D188" s="1">
        <v>200</v>
      </c>
      <c r="E188" s="2">
        <v>12.22</v>
      </c>
      <c r="F188" s="2">
        <v>1</v>
      </c>
      <c r="G188" s="2">
        <v>0</v>
      </c>
      <c r="H188" s="2">
        <v>34</v>
      </c>
      <c r="I188" s="2">
        <v>140.19999999999999</v>
      </c>
      <c r="J188" s="49"/>
      <c r="K188" s="2">
        <v>32.5</v>
      </c>
      <c r="L188" s="2">
        <v>0</v>
      </c>
      <c r="M188" s="2">
        <v>0</v>
      </c>
      <c r="N188" s="2">
        <v>0.7</v>
      </c>
      <c r="O188" s="2">
        <v>0</v>
      </c>
      <c r="P188" s="2">
        <v>0.1</v>
      </c>
      <c r="Q188" s="2">
        <v>0</v>
      </c>
      <c r="R188" s="2">
        <v>0.8</v>
      </c>
    </row>
    <row r="189" spans="1:18" ht="18" customHeight="1" x14ac:dyDescent="0.25">
      <c r="A189" s="1"/>
      <c r="B189" s="1" t="s">
        <v>15</v>
      </c>
      <c r="C189" s="4" t="s">
        <v>95</v>
      </c>
      <c r="D189" s="32">
        <v>40</v>
      </c>
      <c r="E189" s="2">
        <v>2.93</v>
      </c>
      <c r="F189" s="2">
        <v>2.2400000000000002</v>
      </c>
      <c r="G189" s="2">
        <v>0.44000000000000006</v>
      </c>
      <c r="H189" s="2">
        <v>19.759999999999998</v>
      </c>
      <c r="I189" s="2">
        <v>91.960000000000008</v>
      </c>
      <c r="J189" s="49"/>
      <c r="K189" s="2">
        <v>9.1999999999999993</v>
      </c>
      <c r="L189" s="2">
        <v>10</v>
      </c>
      <c r="M189" s="2">
        <v>42.4</v>
      </c>
      <c r="N189" s="2">
        <v>1.24</v>
      </c>
      <c r="O189" s="2">
        <v>0</v>
      </c>
      <c r="P189" s="2">
        <v>0.04</v>
      </c>
      <c r="Q189" s="2">
        <v>0</v>
      </c>
      <c r="R189" s="2">
        <v>0</v>
      </c>
    </row>
    <row r="190" spans="1:18" ht="18" customHeight="1" x14ac:dyDescent="0.25">
      <c r="A190" s="1"/>
      <c r="B190" s="1" t="s">
        <v>78</v>
      </c>
      <c r="C190" s="27" t="s">
        <v>80</v>
      </c>
      <c r="D190" s="32">
        <v>70</v>
      </c>
      <c r="E190" s="35">
        <v>5.13</v>
      </c>
      <c r="F190" s="2">
        <v>5.53</v>
      </c>
      <c r="G190" s="2">
        <v>0.7</v>
      </c>
      <c r="H190" s="2">
        <v>33.81</v>
      </c>
      <c r="I190" s="2">
        <v>163.66</v>
      </c>
      <c r="J190" s="49"/>
      <c r="K190" s="2">
        <v>16.100000000000001</v>
      </c>
      <c r="L190" s="2">
        <v>23.1</v>
      </c>
      <c r="M190" s="2">
        <v>60.9</v>
      </c>
      <c r="N190" s="2">
        <v>0.77</v>
      </c>
      <c r="O190" s="2">
        <v>0</v>
      </c>
      <c r="P190" s="2">
        <v>7.0000000000000007E-2</v>
      </c>
      <c r="Q190" s="2">
        <v>0</v>
      </c>
      <c r="R190" s="2">
        <v>0</v>
      </c>
    </row>
    <row r="191" spans="1:18" ht="18" customHeight="1" x14ac:dyDescent="0.25">
      <c r="A191" s="1">
        <v>386</v>
      </c>
      <c r="B191" s="1" t="s">
        <v>91</v>
      </c>
      <c r="C191" s="27" t="s">
        <v>93</v>
      </c>
      <c r="D191" s="1">
        <v>100</v>
      </c>
      <c r="E191" s="2">
        <v>11.33</v>
      </c>
      <c r="F191" s="2">
        <v>2.7</v>
      </c>
      <c r="G191" s="2">
        <v>2.5</v>
      </c>
      <c r="H191" s="2">
        <v>10.8</v>
      </c>
      <c r="I191" s="2">
        <v>79</v>
      </c>
      <c r="J191" s="49"/>
      <c r="K191" s="2">
        <v>121</v>
      </c>
      <c r="L191" s="2">
        <v>15</v>
      </c>
      <c r="M191" s="2">
        <v>94</v>
      </c>
      <c r="N191" s="2">
        <v>0.1</v>
      </c>
      <c r="O191" s="2">
        <v>20</v>
      </c>
      <c r="P191" s="2">
        <v>4.4999999999999998E-2</v>
      </c>
      <c r="Q191" s="2">
        <v>0.1</v>
      </c>
      <c r="R191" s="2">
        <v>1.35</v>
      </c>
    </row>
    <row r="192" spans="1:18" ht="18" customHeight="1" x14ac:dyDescent="0.25">
      <c r="A192" s="81" t="s">
        <v>11</v>
      </c>
      <c r="B192" s="81"/>
      <c r="C192" s="81"/>
      <c r="D192" s="63">
        <v>1070</v>
      </c>
      <c r="E192" s="13">
        <f t="shared" ref="E192:R192" si="19">SUM(E184:E191)</f>
        <v>188.04999999999998</v>
      </c>
      <c r="F192" s="13">
        <f t="shared" si="19"/>
        <v>37.694000000000003</v>
      </c>
      <c r="G192" s="13">
        <f t="shared" si="19"/>
        <v>24.815000000000001</v>
      </c>
      <c r="H192" s="13">
        <f t="shared" si="19"/>
        <v>171.035</v>
      </c>
      <c r="I192" s="13">
        <f t="shared" si="19"/>
        <v>1060.335</v>
      </c>
      <c r="J192" s="13">
        <f t="shared" si="19"/>
        <v>0</v>
      </c>
      <c r="K192" s="13">
        <f t="shared" si="19"/>
        <v>264.50700000000001</v>
      </c>
      <c r="L192" s="13">
        <f t="shared" si="19"/>
        <v>142.29399999999998</v>
      </c>
      <c r="M192" s="13">
        <f t="shared" si="19"/>
        <v>486.75399999999996</v>
      </c>
      <c r="N192" s="13">
        <f t="shared" si="19"/>
        <v>7.9580000000000002</v>
      </c>
      <c r="O192" s="13">
        <f t="shared" si="19"/>
        <v>20</v>
      </c>
      <c r="P192" s="13">
        <f t="shared" si="19"/>
        <v>0.74299999999999999</v>
      </c>
      <c r="Q192" s="13">
        <f t="shared" si="19"/>
        <v>1.2360000000000002</v>
      </c>
      <c r="R192" s="13">
        <f t="shared" si="19"/>
        <v>23.162500000000001</v>
      </c>
    </row>
    <row r="193" spans="1:18" ht="18" customHeight="1" x14ac:dyDescent="0.25">
      <c r="A193" s="85" t="s">
        <v>17</v>
      </c>
      <c r="B193" s="85"/>
      <c r="C193" s="85"/>
      <c r="D193" s="85"/>
      <c r="E193" s="13">
        <f t="shared" ref="E193:R193" si="20">E180+E192</f>
        <v>283.43</v>
      </c>
      <c r="F193" s="13">
        <f t="shared" si="20"/>
        <v>61.079000000000008</v>
      </c>
      <c r="G193" s="13">
        <f t="shared" si="20"/>
        <v>62.045000000000002</v>
      </c>
      <c r="H193" s="13">
        <f t="shared" si="20"/>
        <v>260.98</v>
      </c>
      <c r="I193" s="13">
        <f t="shared" si="20"/>
        <v>1849.81</v>
      </c>
      <c r="J193" s="13">
        <f t="shared" si="20"/>
        <v>0</v>
      </c>
      <c r="K193" s="13">
        <f t="shared" si="20"/>
        <v>426.08199999999999</v>
      </c>
      <c r="L193" s="13">
        <f t="shared" si="20"/>
        <v>184.86899999999997</v>
      </c>
      <c r="M193" s="13">
        <f t="shared" si="20"/>
        <v>871.30399999999997</v>
      </c>
      <c r="N193" s="13">
        <f t="shared" si="20"/>
        <v>14.478000000000002</v>
      </c>
      <c r="O193" s="13">
        <f t="shared" si="20"/>
        <v>444.75</v>
      </c>
      <c r="P193" s="13">
        <f t="shared" si="20"/>
        <v>1.0629999999999999</v>
      </c>
      <c r="Q193" s="13">
        <f t="shared" si="20"/>
        <v>1.6560000000000001</v>
      </c>
      <c r="R193" s="13">
        <f t="shared" si="20"/>
        <v>23.637500000000003</v>
      </c>
    </row>
    <row r="194" spans="1:18" x14ac:dyDescent="0.25">
      <c r="A194" s="16"/>
      <c r="B194" s="16"/>
      <c r="C194" s="16"/>
      <c r="D194" s="16"/>
      <c r="E194" s="18"/>
      <c r="F194" s="18"/>
      <c r="G194" s="18"/>
      <c r="H194" s="18"/>
      <c r="I194" s="18"/>
      <c r="J194" s="20"/>
      <c r="K194" s="17"/>
      <c r="L194" s="18"/>
      <c r="M194" s="18"/>
      <c r="N194" s="17"/>
      <c r="O194" s="17"/>
      <c r="P194" s="17"/>
      <c r="Q194" s="21"/>
      <c r="R194" s="18"/>
    </row>
    <row r="195" spans="1:18" x14ac:dyDescent="0.25">
      <c r="A195" s="16"/>
      <c r="B195" s="16"/>
      <c r="C195" s="16"/>
      <c r="D195" s="16"/>
      <c r="E195" s="18"/>
      <c r="F195" s="18"/>
      <c r="G195" s="18"/>
      <c r="H195" s="18"/>
      <c r="I195" s="18"/>
      <c r="J195" s="20"/>
      <c r="K195" s="17"/>
      <c r="L195" s="18"/>
      <c r="M195" s="18"/>
      <c r="N195" s="17"/>
      <c r="O195" s="17"/>
      <c r="P195" s="17"/>
      <c r="Q195" s="21"/>
      <c r="R195" s="18"/>
    </row>
    <row r="196" spans="1:18" x14ac:dyDescent="0.25">
      <c r="A196" s="16"/>
      <c r="B196" s="16"/>
      <c r="C196" s="16"/>
      <c r="D196" s="16"/>
      <c r="E196" s="18"/>
      <c r="F196" s="18"/>
      <c r="G196" s="18"/>
      <c r="H196" s="18"/>
      <c r="I196" s="18"/>
      <c r="J196" s="20"/>
      <c r="K196" s="17"/>
      <c r="L196" s="18"/>
      <c r="M196" s="18"/>
      <c r="N196" s="17"/>
      <c r="O196" s="17"/>
      <c r="P196" s="17"/>
      <c r="Q196" s="21"/>
      <c r="R196" s="18"/>
    </row>
    <row r="197" spans="1:18" x14ac:dyDescent="0.25">
      <c r="A197" s="16"/>
      <c r="B197" s="16"/>
      <c r="C197" s="16"/>
      <c r="D197" s="16"/>
      <c r="E197" s="18"/>
      <c r="F197" s="18"/>
      <c r="G197" s="18"/>
      <c r="H197" s="18"/>
      <c r="I197" s="18"/>
      <c r="J197" s="20"/>
      <c r="K197" s="17"/>
      <c r="L197" s="18"/>
      <c r="M197" s="18"/>
      <c r="N197" s="17"/>
      <c r="O197" s="17"/>
      <c r="P197" s="17"/>
      <c r="Q197" s="21"/>
      <c r="R197" s="18"/>
    </row>
    <row r="198" spans="1:18" x14ac:dyDescent="0.25">
      <c r="A198" s="16"/>
      <c r="B198" s="16"/>
      <c r="C198" s="16"/>
      <c r="D198" s="16"/>
      <c r="E198" s="18"/>
      <c r="F198" s="18"/>
      <c r="G198" s="18"/>
      <c r="H198" s="18"/>
      <c r="I198" s="18"/>
      <c r="J198" s="20"/>
      <c r="K198" s="17"/>
      <c r="L198" s="18"/>
      <c r="M198" s="18"/>
      <c r="N198" s="17"/>
      <c r="O198" s="17"/>
      <c r="P198" s="17"/>
      <c r="Q198" s="21"/>
      <c r="R198" s="18"/>
    </row>
    <row r="199" spans="1:18" x14ac:dyDescent="0.25">
      <c r="A199" s="16"/>
      <c r="B199" s="16"/>
      <c r="C199" s="16"/>
      <c r="D199" s="16"/>
      <c r="E199" s="18"/>
      <c r="F199" s="18"/>
      <c r="G199" s="18"/>
      <c r="H199" s="18"/>
      <c r="I199" s="18"/>
      <c r="J199" s="20"/>
      <c r="K199" s="17"/>
      <c r="L199" s="18"/>
      <c r="M199" s="17"/>
      <c r="N199" s="17"/>
      <c r="O199" s="18"/>
      <c r="P199" s="17"/>
      <c r="Q199" s="17"/>
      <c r="R199" s="18"/>
    </row>
    <row r="200" spans="1:18" x14ac:dyDescent="0.25">
      <c r="A200" s="16"/>
      <c r="B200" s="16"/>
      <c r="C200" s="16"/>
      <c r="D200" s="16"/>
      <c r="E200" s="18"/>
      <c r="F200" s="18"/>
      <c r="G200" s="18"/>
      <c r="H200" s="18"/>
      <c r="I200" s="18"/>
      <c r="J200" s="20"/>
      <c r="K200" s="17"/>
      <c r="L200" s="18"/>
      <c r="M200" s="17"/>
      <c r="N200" s="17"/>
      <c r="O200" s="18"/>
      <c r="P200" s="17"/>
      <c r="Q200" s="17"/>
      <c r="R200" s="18"/>
    </row>
    <row r="201" spans="1:18" x14ac:dyDescent="0.25">
      <c r="A201" s="16"/>
      <c r="B201" s="16"/>
      <c r="C201" s="16"/>
      <c r="D201" s="16"/>
      <c r="E201" s="18"/>
      <c r="F201" s="18"/>
      <c r="G201" s="18"/>
      <c r="H201" s="18"/>
      <c r="I201" s="18"/>
      <c r="J201" s="20"/>
      <c r="K201" s="17"/>
      <c r="L201" s="18"/>
      <c r="M201" s="17"/>
      <c r="N201" s="17"/>
      <c r="O201" s="18"/>
      <c r="P201" s="17"/>
      <c r="Q201" s="17"/>
      <c r="R201" s="18"/>
    </row>
    <row r="202" spans="1:18" ht="18" customHeight="1" x14ac:dyDescent="0.25">
      <c r="A202" s="89" t="s">
        <v>47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1"/>
    </row>
    <row r="203" spans="1:18" ht="18.75" customHeight="1" x14ac:dyDescent="0.25">
      <c r="A203" s="86" t="s">
        <v>4</v>
      </c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1:18" ht="18" customHeight="1" x14ac:dyDescent="0.25">
      <c r="A204" s="87" t="s">
        <v>29</v>
      </c>
      <c r="B204" s="82" t="s">
        <v>0</v>
      </c>
      <c r="C204" s="87" t="s">
        <v>38</v>
      </c>
      <c r="D204" s="82" t="s">
        <v>1</v>
      </c>
      <c r="E204" s="82" t="s">
        <v>2</v>
      </c>
      <c r="F204" s="83" t="s">
        <v>67</v>
      </c>
      <c r="G204" s="83" t="s">
        <v>68</v>
      </c>
      <c r="H204" s="83" t="s">
        <v>69</v>
      </c>
      <c r="I204" s="82" t="s">
        <v>3</v>
      </c>
      <c r="J204" s="15"/>
      <c r="K204" s="8" t="s">
        <v>70</v>
      </c>
      <c r="L204" s="8"/>
      <c r="M204" s="8"/>
      <c r="N204" s="8"/>
      <c r="O204" s="82" t="s">
        <v>71</v>
      </c>
      <c r="P204" s="82"/>
      <c r="Q204" s="82"/>
      <c r="R204" s="82"/>
    </row>
    <row r="205" spans="1:18" ht="15" customHeight="1" x14ac:dyDescent="0.25">
      <c r="A205" s="87"/>
      <c r="B205" s="82"/>
      <c r="C205" s="87"/>
      <c r="D205" s="82"/>
      <c r="E205" s="82"/>
      <c r="F205" s="84"/>
      <c r="G205" s="84"/>
      <c r="H205" s="84"/>
      <c r="I205" s="82"/>
      <c r="J205" s="15"/>
      <c r="K205" s="30" t="s">
        <v>30</v>
      </c>
      <c r="L205" s="24" t="s">
        <v>31</v>
      </c>
      <c r="M205" s="24" t="s">
        <v>32</v>
      </c>
      <c r="N205" s="24" t="s">
        <v>33</v>
      </c>
      <c r="O205" s="24" t="s">
        <v>34</v>
      </c>
      <c r="P205" s="24" t="s">
        <v>77</v>
      </c>
      <c r="Q205" s="24" t="s">
        <v>36</v>
      </c>
      <c r="R205" s="24" t="s">
        <v>37</v>
      </c>
    </row>
    <row r="206" spans="1:18" ht="28.5" customHeight="1" x14ac:dyDescent="0.25">
      <c r="A206" s="58" t="s">
        <v>118</v>
      </c>
      <c r="B206" s="37" t="s">
        <v>7</v>
      </c>
      <c r="C206" s="46" t="s">
        <v>85</v>
      </c>
      <c r="D206" s="1" t="s">
        <v>96</v>
      </c>
      <c r="E206" s="2">
        <v>48.9</v>
      </c>
      <c r="F206" s="67">
        <v>8.6</v>
      </c>
      <c r="G206" s="67">
        <v>11.4</v>
      </c>
      <c r="H206" s="67">
        <v>9.06</v>
      </c>
      <c r="I206" s="2">
        <v>172.8</v>
      </c>
      <c r="J206" s="49"/>
      <c r="K206" s="2">
        <v>71</v>
      </c>
      <c r="L206" s="2">
        <v>15.7</v>
      </c>
      <c r="M206" s="2">
        <v>72.45</v>
      </c>
      <c r="N206" s="2">
        <v>26.13</v>
      </c>
      <c r="O206" s="2">
        <v>0.1</v>
      </c>
      <c r="P206" s="2">
        <v>0.13</v>
      </c>
      <c r="Q206" s="2">
        <v>2.6</v>
      </c>
      <c r="R206" s="2">
        <v>0.81</v>
      </c>
    </row>
    <row r="207" spans="1:18" ht="18" customHeight="1" x14ac:dyDescent="0.25">
      <c r="A207" s="1">
        <v>309</v>
      </c>
      <c r="B207" s="32" t="s">
        <v>8</v>
      </c>
      <c r="C207" s="44" t="s">
        <v>105</v>
      </c>
      <c r="D207" s="32">
        <v>180</v>
      </c>
      <c r="E207" s="2">
        <v>11.92</v>
      </c>
      <c r="F207" s="2">
        <f>5.52*180/150</f>
        <v>6.6239999999999997</v>
      </c>
      <c r="G207" s="2">
        <f>4.5*180/150</f>
        <v>5.4</v>
      </c>
      <c r="H207" s="2">
        <f>26.45*180/150</f>
        <v>31.74</v>
      </c>
      <c r="I207" s="2">
        <f>168.45*180/150</f>
        <v>202.14</v>
      </c>
      <c r="J207" s="55"/>
      <c r="K207" s="2">
        <f>4.86*180/150</f>
        <v>5.8320000000000007</v>
      </c>
      <c r="L207" s="2">
        <f>21.12*180/150</f>
        <v>25.344000000000001</v>
      </c>
      <c r="M207" s="2">
        <f>37.17*180/150</f>
        <v>44.603999999999999</v>
      </c>
      <c r="N207" s="2">
        <f>1.1025*180/150</f>
        <v>1.3230000000000002</v>
      </c>
      <c r="O207" s="2">
        <v>0</v>
      </c>
      <c r="P207" s="2">
        <f>0.0525*180/150</f>
        <v>6.3E-2</v>
      </c>
      <c r="Q207" s="2">
        <f>0.78*180/150</f>
        <v>0.93600000000000005</v>
      </c>
      <c r="R207" s="2">
        <v>0</v>
      </c>
    </row>
    <row r="208" spans="1:18" ht="18" customHeight="1" x14ac:dyDescent="0.25">
      <c r="A208" s="1"/>
      <c r="B208" s="1" t="s">
        <v>9</v>
      </c>
      <c r="C208" s="5" t="s">
        <v>76</v>
      </c>
      <c r="D208" s="1">
        <v>50</v>
      </c>
      <c r="E208" s="2">
        <v>3.67</v>
      </c>
      <c r="F208" s="2">
        <v>3.95</v>
      </c>
      <c r="G208" s="2">
        <v>0.5</v>
      </c>
      <c r="H208" s="2">
        <v>24.15</v>
      </c>
      <c r="I208" s="2">
        <v>116.9</v>
      </c>
      <c r="J208" s="55"/>
      <c r="K208" s="2">
        <v>11.5</v>
      </c>
      <c r="L208" s="2">
        <v>16.5</v>
      </c>
      <c r="M208" s="2">
        <v>43.5</v>
      </c>
      <c r="N208" s="2">
        <v>0.55000000000000004</v>
      </c>
      <c r="O208" s="2">
        <v>0</v>
      </c>
      <c r="P208" s="2">
        <v>0.05</v>
      </c>
      <c r="Q208" s="2">
        <v>0.11</v>
      </c>
      <c r="R208" s="2">
        <v>0.12</v>
      </c>
    </row>
    <row r="209" spans="1:18" ht="18" customHeight="1" x14ac:dyDescent="0.25">
      <c r="A209" s="1">
        <v>379</v>
      </c>
      <c r="B209" s="1" t="s">
        <v>13</v>
      </c>
      <c r="C209" s="6" t="s">
        <v>18</v>
      </c>
      <c r="D209" s="1">
        <v>200</v>
      </c>
      <c r="E209" s="2">
        <v>13.95</v>
      </c>
      <c r="F209" s="2">
        <v>3.6</v>
      </c>
      <c r="G209" s="2">
        <v>2.7</v>
      </c>
      <c r="H209" s="2">
        <v>28.3</v>
      </c>
      <c r="I209" s="2">
        <v>151.80000000000001</v>
      </c>
      <c r="J209" s="55"/>
      <c r="K209" s="2">
        <v>100.3</v>
      </c>
      <c r="L209" s="2">
        <v>11.7</v>
      </c>
      <c r="M209" s="2">
        <v>75</v>
      </c>
      <c r="N209" s="2">
        <v>0.1</v>
      </c>
      <c r="O209" s="2">
        <v>0</v>
      </c>
      <c r="P209" s="2">
        <v>4.7</v>
      </c>
      <c r="Q209" s="2">
        <v>0.1</v>
      </c>
      <c r="R209" s="2">
        <v>1.1000000000000001</v>
      </c>
    </row>
    <row r="210" spans="1:18" ht="18" customHeight="1" x14ac:dyDescent="0.25">
      <c r="A210" s="81" t="s">
        <v>11</v>
      </c>
      <c r="B210" s="81"/>
      <c r="C210" s="81"/>
      <c r="D210" s="24">
        <v>550</v>
      </c>
      <c r="E210" s="13">
        <f t="shared" ref="E210:R210" si="21">SUM(E206:E209)</f>
        <v>78.44</v>
      </c>
      <c r="F210" s="13">
        <f t="shared" si="21"/>
        <v>22.774000000000001</v>
      </c>
      <c r="G210" s="13">
        <f t="shared" si="21"/>
        <v>20</v>
      </c>
      <c r="H210" s="13">
        <f t="shared" si="21"/>
        <v>93.249999999999986</v>
      </c>
      <c r="I210" s="13">
        <f t="shared" si="21"/>
        <v>643.6400000000001</v>
      </c>
      <c r="J210" s="13">
        <f t="shared" si="21"/>
        <v>0</v>
      </c>
      <c r="K210" s="13">
        <f t="shared" si="21"/>
        <v>188.63200000000001</v>
      </c>
      <c r="L210" s="13">
        <f t="shared" si="21"/>
        <v>69.244</v>
      </c>
      <c r="M210" s="13">
        <f t="shared" si="21"/>
        <v>235.554</v>
      </c>
      <c r="N210" s="13">
        <f t="shared" si="21"/>
        <v>28.103000000000002</v>
      </c>
      <c r="O210" s="13">
        <f t="shared" si="21"/>
        <v>0.1</v>
      </c>
      <c r="P210" s="13">
        <f t="shared" si="21"/>
        <v>4.9430000000000005</v>
      </c>
      <c r="Q210" s="13">
        <f t="shared" si="21"/>
        <v>3.746</v>
      </c>
      <c r="R210" s="13">
        <f t="shared" si="21"/>
        <v>2.0300000000000002</v>
      </c>
    </row>
    <row r="211" spans="1:18" ht="18" customHeight="1" x14ac:dyDescent="0.25">
      <c r="A211" s="86" t="s">
        <v>12</v>
      </c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1:18" ht="18" customHeight="1" x14ac:dyDescent="0.25">
      <c r="A212" s="87" t="s">
        <v>29</v>
      </c>
      <c r="B212" s="82" t="s">
        <v>0</v>
      </c>
      <c r="C212" s="87" t="s">
        <v>38</v>
      </c>
      <c r="D212" s="82" t="s">
        <v>1</v>
      </c>
      <c r="E212" s="82" t="s">
        <v>2</v>
      </c>
      <c r="F212" s="83" t="s">
        <v>67</v>
      </c>
      <c r="G212" s="83" t="s">
        <v>68</v>
      </c>
      <c r="H212" s="83" t="s">
        <v>69</v>
      </c>
      <c r="I212" s="82" t="s">
        <v>3</v>
      </c>
      <c r="J212" s="15"/>
      <c r="K212" s="8" t="s">
        <v>70</v>
      </c>
      <c r="L212" s="8"/>
      <c r="M212" s="8"/>
      <c r="N212" s="8"/>
      <c r="O212" s="82" t="s">
        <v>71</v>
      </c>
      <c r="P212" s="82"/>
      <c r="Q212" s="82"/>
      <c r="R212" s="82"/>
    </row>
    <row r="213" spans="1:18" ht="15" customHeight="1" x14ac:dyDescent="0.25">
      <c r="A213" s="87"/>
      <c r="B213" s="82"/>
      <c r="C213" s="87"/>
      <c r="D213" s="82"/>
      <c r="E213" s="82"/>
      <c r="F213" s="84"/>
      <c r="G213" s="84"/>
      <c r="H213" s="84"/>
      <c r="I213" s="82"/>
      <c r="J213" s="15"/>
      <c r="K213" s="30" t="s">
        <v>30</v>
      </c>
      <c r="L213" s="24" t="s">
        <v>31</v>
      </c>
      <c r="M213" s="24" t="s">
        <v>32</v>
      </c>
      <c r="N213" s="24" t="s">
        <v>33</v>
      </c>
      <c r="O213" s="24" t="s">
        <v>34</v>
      </c>
      <c r="P213" s="24" t="s">
        <v>77</v>
      </c>
      <c r="Q213" s="24" t="s">
        <v>36</v>
      </c>
      <c r="R213" s="24" t="s">
        <v>37</v>
      </c>
    </row>
    <row r="214" spans="1:18" ht="18" customHeight="1" x14ac:dyDescent="0.25">
      <c r="A214" s="28">
        <v>71</v>
      </c>
      <c r="B214" s="1">
        <v>1</v>
      </c>
      <c r="C214" s="5" t="s">
        <v>87</v>
      </c>
      <c r="D214" s="32">
        <v>100</v>
      </c>
      <c r="E214" s="1">
        <v>22.42</v>
      </c>
      <c r="F214" s="67">
        <v>1.2</v>
      </c>
      <c r="G214" s="67">
        <v>0.2</v>
      </c>
      <c r="H214" s="67">
        <v>4.5999999999999996</v>
      </c>
      <c r="I214" s="2">
        <v>26</v>
      </c>
      <c r="J214" s="49"/>
      <c r="K214" s="2">
        <v>14</v>
      </c>
      <c r="L214" s="2">
        <v>20</v>
      </c>
      <c r="M214" s="2">
        <v>0</v>
      </c>
      <c r="N214" s="2">
        <v>0.8</v>
      </c>
      <c r="O214" s="2">
        <v>0</v>
      </c>
      <c r="P214" s="2">
        <v>0</v>
      </c>
      <c r="Q214" s="2">
        <v>0</v>
      </c>
      <c r="R214" s="2">
        <v>17.5</v>
      </c>
    </row>
    <row r="215" spans="1:18" ht="30.75" customHeight="1" x14ac:dyDescent="0.25">
      <c r="A215" s="1">
        <v>88</v>
      </c>
      <c r="B215" s="1" t="s">
        <v>8</v>
      </c>
      <c r="C215" s="4" t="s">
        <v>19</v>
      </c>
      <c r="D215" s="32">
        <v>250</v>
      </c>
      <c r="E215" s="1">
        <v>10.77</v>
      </c>
      <c r="F215" s="2">
        <v>1.6</v>
      </c>
      <c r="G215" s="2">
        <v>4.9000000000000004</v>
      </c>
      <c r="H215" s="2">
        <v>11.5</v>
      </c>
      <c r="I215" s="2">
        <v>96.8</v>
      </c>
      <c r="J215" s="69"/>
      <c r="K215" s="2">
        <v>75.2</v>
      </c>
      <c r="L215" s="2">
        <v>14.7</v>
      </c>
      <c r="M215" s="2">
        <v>34.200000000000003</v>
      </c>
      <c r="N215" s="2">
        <v>1.0249999999999999</v>
      </c>
      <c r="O215" s="2">
        <v>1</v>
      </c>
      <c r="P215" s="2">
        <v>5.5</v>
      </c>
      <c r="Q215" s="2">
        <v>0.6</v>
      </c>
      <c r="R215" s="2">
        <v>9.5</v>
      </c>
    </row>
    <row r="216" spans="1:18" ht="18" customHeight="1" x14ac:dyDescent="0.25">
      <c r="A216" s="1">
        <v>268</v>
      </c>
      <c r="B216" s="1" t="s">
        <v>9</v>
      </c>
      <c r="C216" s="4" t="s">
        <v>25</v>
      </c>
      <c r="D216" s="32">
        <v>100</v>
      </c>
      <c r="E216" s="2">
        <v>51.02</v>
      </c>
      <c r="F216" s="2">
        <v>14.8</v>
      </c>
      <c r="G216" s="2">
        <v>19.399999999999999</v>
      </c>
      <c r="H216" s="2">
        <v>22.2</v>
      </c>
      <c r="I216" s="2">
        <v>322</v>
      </c>
      <c r="J216" s="49"/>
      <c r="K216" s="2">
        <v>43.7</v>
      </c>
      <c r="L216" s="2">
        <v>32.1</v>
      </c>
      <c r="M216" s="2">
        <v>166.4</v>
      </c>
      <c r="N216" s="2">
        <v>1</v>
      </c>
      <c r="O216" s="2">
        <v>28.7</v>
      </c>
      <c r="P216" s="2">
        <v>0.1</v>
      </c>
      <c r="Q216" s="2">
        <v>0</v>
      </c>
      <c r="R216" s="2">
        <v>0.1</v>
      </c>
    </row>
    <row r="217" spans="1:18" ht="18" customHeight="1" x14ac:dyDescent="0.25">
      <c r="A217" s="1">
        <v>198</v>
      </c>
      <c r="B217" s="1" t="s">
        <v>13</v>
      </c>
      <c r="C217" s="31" t="s">
        <v>108</v>
      </c>
      <c r="D217" s="32" t="s">
        <v>125</v>
      </c>
      <c r="E217" s="32">
        <v>16.350000000000001</v>
      </c>
      <c r="F217" s="2">
        <v>15.587999999999999</v>
      </c>
      <c r="G217" s="2">
        <v>7.823999999999999</v>
      </c>
      <c r="H217" s="2">
        <v>40.020000000000003</v>
      </c>
      <c r="I217" s="2">
        <v>291.43200000000002</v>
      </c>
      <c r="J217" s="49"/>
      <c r="K217" s="2">
        <v>108.24</v>
      </c>
      <c r="L217" s="2">
        <v>70.512</v>
      </c>
      <c r="M217" s="2">
        <v>243.51600000000002</v>
      </c>
      <c r="N217" s="2">
        <v>5.3760000000000003</v>
      </c>
      <c r="O217" s="2">
        <v>34.283999999999999</v>
      </c>
      <c r="P217" s="2">
        <v>0.56399999999999995</v>
      </c>
      <c r="Q217" s="2">
        <v>1.1759999999999999</v>
      </c>
      <c r="R217" s="2">
        <v>0</v>
      </c>
    </row>
    <row r="218" spans="1:18" ht="18" customHeight="1" x14ac:dyDescent="0.25">
      <c r="A218" s="1">
        <v>349</v>
      </c>
      <c r="B218" s="1" t="s">
        <v>14</v>
      </c>
      <c r="C218" s="4" t="s">
        <v>55</v>
      </c>
      <c r="D218" s="32">
        <v>200</v>
      </c>
      <c r="E218" s="1">
        <v>7.02</v>
      </c>
      <c r="F218" s="2">
        <v>0.6</v>
      </c>
      <c r="G218" s="2">
        <v>0.09</v>
      </c>
      <c r="H218" s="2">
        <v>32.01</v>
      </c>
      <c r="I218" s="2">
        <v>132.80000000000001</v>
      </c>
      <c r="J218" s="49"/>
      <c r="K218" s="2">
        <v>32.479999999999997</v>
      </c>
      <c r="L218" s="2">
        <v>17.46</v>
      </c>
      <c r="M218" s="2">
        <v>23.44</v>
      </c>
      <c r="N218" s="2">
        <v>0.7</v>
      </c>
      <c r="O218" s="2">
        <v>0</v>
      </c>
      <c r="P218" s="2">
        <v>0.02</v>
      </c>
      <c r="Q218" s="2">
        <v>0.26</v>
      </c>
      <c r="R218" s="2">
        <v>0.73</v>
      </c>
    </row>
    <row r="219" spans="1:18" ht="18" customHeight="1" x14ac:dyDescent="0.25">
      <c r="A219" s="1"/>
      <c r="B219" s="1" t="s">
        <v>15</v>
      </c>
      <c r="C219" s="4" t="s">
        <v>95</v>
      </c>
      <c r="D219" s="32">
        <v>40</v>
      </c>
      <c r="E219" s="2">
        <v>2.93</v>
      </c>
      <c r="F219" s="2">
        <v>1.68</v>
      </c>
      <c r="G219" s="2">
        <v>0.33</v>
      </c>
      <c r="H219" s="2">
        <v>14.82</v>
      </c>
      <c r="I219" s="2">
        <v>68.97</v>
      </c>
      <c r="J219" s="49"/>
      <c r="K219" s="2">
        <v>6.9</v>
      </c>
      <c r="L219" s="2">
        <v>7.5</v>
      </c>
      <c r="M219" s="2">
        <v>31.799999999999997</v>
      </c>
      <c r="N219" s="2">
        <v>0.92999999999999994</v>
      </c>
      <c r="O219" s="2">
        <v>0</v>
      </c>
      <c r="P219" s="2">
        <v>0.03</v>
      </c>
      <c r="Q219" s="2">
        <v>0</v>
      </c>
      <c r="R219" s="2">
        <v>0</v>
      </c>
    </row>
    <row r="220" spans="1:18" ht="18" customHeight="1" x14ac:dyDescent="0.25">
      <c r="A220" s="1"/>
      <c r="B220" s="1" t="s">
        <v>78</v>
      </c>
      <c r="C220" s="27" t="s">
        <v>80</v>
      </c>
      <c r="D220" s="32">
        <v>70</v>
      </c>
      <c r="E220" s="35">
        <v>5.13</v>
      </c>
      <c r="F220" s="2">
        <v>2.37</v>
      </c>
      <c r="G220" s="2">
        <v>0.3</v>
      </c>
      <c r="H220" s="2">
        <v>14.49</v>
      </c>
      <c r="I220" s="2">
        <v>70.14</v>
      </c>
      <c r="J220" s="49"/>
      <c r="K220" s="2">
        <v>6.8999999999999995</v>
      </c>
      <c r="L220" s="2">
        <v>9.8999999999999986</v>
      </c>
      <c r="M220" s="2">
        <v>26.099999999999998</v>
      </c>
      <c r="N220" s="2">
        <v>0.33</v>
      </c>
      <c r="O220" s="2">
        <v>0</v>
      </c>
      <c r="P220" s="2">
        <v>0.03</v>
      </c>
      <c r="Q220" s="2">
        <v>0</v>
      </c>
      <c r="R220" s="2">
        <v>0</v>
      </c>
    </row>
    <row r="221" spans="1:18" ht="18" customHeight="1" x14ac:dyDescent="0.25">
      <c r="A221" s="1">
        <v>386</v>
      </c>
      <c r="B221" s="1" t="s">
        <v>91</v>
      </c>
      <c r="C221" s="27" t="s">
        <v>93</v>
      </c>
      <c r="D221" s="1">
        <v>100</v>
      </c>
      <c r="E221" s="2">
        <v>11.33</v>
      </c>
      <c r="F221" s="2">
        <v>2.7</v>
      </c>
      <c r="G221" s="2">
        <v>2.5</v>
      </c>
      <c r="H221" s="2">
        <v>10.8</v>
      </c>
      <c r="I221" s="2">
        <v>79</v>
      </c>
      <c r="J221" s="49"/>
      <c r="K221" s="2">
        <v>121</v>
      </c>
      <c r="L221" s="2">
        <v>15</v>
      </c>
      <c r="M221" s="2">
        <v>94</v>
      </c>
      <c r="N221" s="2">
        <v>0.1</v>
      </c>
      <c r="O221" s="2">
        <v>20</v>
      </c>
      <c r="P221" s="2">
        <v>4.4999999999999998E-2</v>
      </c>
      <c r="Q221" s="2">
        <v>0.1</v>
      </c>
      <c r="R221" s="2">
        <v>1.35</v>
      </c>
    </row>
    <row r="222" spans="1:18" ht="18" customHeight="1" x14ac:dyDescent="0.25">
      <c r="A222" s="81" t="s">
        <v>11</v>
      </c>
      <c r="B222" s="81"/>
      <c r="C222" s="81"/>
      <c r="D222" s="24">
        <v>1050</v>
      </c>
      <c r="E222" s="24">
        <f t="shared" ref="E222:R222" si="22">SUM(E214:E221)</f>
        <v>126.97</v>
      </c>
      <c r="F222" s="13">
        <f t="shared" si="22"/>
        <v>40.538000000000004</v>
      </c>
      <c r="G222" s="13">
        <f t="shared" si="22"/>
        <v>35.543999999999997</v>
      </c>
      <c r="H222" s="13">
        <f t="shared" si="22"/>
        <v>150.44</v>
      </c>
      <c r="I222" s="13">
        <f t="shared" si="22"/>
        <v>1087.1419999999998</v>
      </c>
      <c r="J222" s="13">
        <f t="shared" si="22"/>
        <v>0</v>
      </c>
      <c r="K222" s="13">
        <f t="shared" si="22"/>
        <v>408.41999999999996</v>
      </c>
      <c r="L222" s="13">
        <f t="shared" si="22"/>
        <v>187.17200000000003</v>
      </c>
      <c r="M222" s="13">
        <f t="shared" si="22"/>
        <v>619.45600000000002</v>
      </c>
      <c r="N222" s="13">
        <f t="shared" si="22"/>
        <v>10.260999999999999</v>
      </c>
      <c r="O222" s="13">
        <f t="shared" si="22"/>
        <v>83.983999999999995</v>
      </c>
      <c r="P222" s="13">
        <f t="shared" si="22"/>
        <v>6.2889999999999997</v>
      </c>
      <c r="Q222" s="13">
        <f t="shared" si="22"/>
        <v>2.1359999999999997</v>
      </c>
      <c r="R222" s="13">
        <f t="shared" si="22"/>
        <v>29.180000000000003</v>
      </c>
    </row>
    <row r="223" spans="1:18" ht="18" customHeight="1" x14ac:dyDescent="0.25">
      <c r="A223" s="85" t="s">
        <v>17</v>
      </c>
      <c r="B223" s="85"/>
      <c r="C223" s="85"/>
      <c r="D223" s="85"/>
      <c r="E223" s="13">
        <f>E210+E222</f>
        <v>205.41</v>
      </c>
      <c r="F223" s="13">
        <f>F210+F222</f>
        <v>63.312000000000005</v>
      </c>
      <c r="G223" s="13">
        <f>G210+G222</f>
        <v>55.543999999999997</v>
      </c>
      <c r="H223" s="13">
        <f>H210+H222</f>
        <v>243.69</v>
      </c>
      <c r="I223" s="13">
        <f>I210+I222</f>
        <v>1730.7819999999999</v>
      </c>
      <c r="J223" s="49"/>
      <c r="K223" s="13">
        <f t="shared" ref="K223:R223" si="23">K210+K222</f>
        <v>597.05199999999991</v>
      </c>
      <c r="L223" s="13">
        <f t="shared" si="23"/>
        <v>256.41600000000005</v>
      </c>
      <c r="M223" s="13">
        <f t="shared" si="23"/>
        <v>855.01</v>
      </c>
      <c r="N223" s="13">
        <f t="shared" si="23"/>
        <v>38.364000000000004</v>
      </c>
      <c r="O223" s="13">
        <f t="shared" si="23"/>
        <v>84.083999999999989</v>
      </c>
      <c r="P223" s="13">
        <f t="shared" si="23"/>
        <v>11.231999999999999</v>
      </c>
      <c r="Q223" s="13">
        <f t="shared" si="23"/>
        <v>5.8819999999999997</v>
      </c>
      <c r="R223" s="13">
        <f t="shared" si="23"/>
        <v>31.210000000000004</v>
      </c>
    </row>
    <row r="224" spans="1:18" x14ac:dyDescent="0.25">
      <c r="A224" s="22"/>
      <c r="B224" s="22"/>
      <c r="C224" s="22"/>
      <c r="D224" s="22"/>
      <c r="E224" s="23"/>
      <c r="F224" s="23"/>
      <c r="G224" s="23"/>
      <c r="H224" s="23"/>
      <c r="I224" s="23"/>
      <c r="K224" s="23"/>
      <c r="L224" s="9"/>
      <c r="M224" s="23"/>
      <c r="N224" s="23"/>
      <c r="O224" s="23"/>
      <c r="P224" s="9"/>
      <c r="Q224" s="9"/>
      <c r="R224" s="23"/>
    </row>
    <row r="225" spans="1:18" x14ac:dyDescent="0.25">
      <c r="A225" s="22"/>
      <c r="B225" s="22"/>
      <c r="C225" s="22"/>
      <c r="D225" s="22"/>
      <c r="E225" s="23"/>
      <c r="F225" s="23"/>
      <c r="G225" s="23"/>
      <c r="H225" s="23"/>
      <c r="I225" s="23"/>
      <c r="K225" s="23"/>
      <c r="L225" s="9"/>
      <c r="M225" s="23"/>
      <c r="N225" s="23"/>
      <c r="O225" s="23"/>
      <c r="P225" s="9"/>
      <c r="Q225" s="9"/>
      <c r="R225" s="23"/>
    </row>
    <row r="226" spans="1:18" x14ac:dyDescent="0.25">
      <c r="A226" s="22"/>
      <c r="B226" s="22"/>
      <c r="C226" s="22"/>
      <c r="D226" s="22"/>
      <c r="E226" s="23"/>
      <c r="F226" s="23"/>
      <c r="G226" s="23"/>
      <c r="H226" s="23"/>
      <c r="I226" s="23"/>
      <c r="K226" s="23"/>
      <c r="L226" s="9"/>
      <c r="M226" s="23"/>
      <c r="N226" s="23"/>
      <c r="O226" s="23"/>
      <c r="P226" s="9"/>
      <c r="Q226" s="9"/>
      <c r="R226" s="23"/>
    </row>
    <row r="227" spans="1:18" x14ac:dyDescent="0.25">
      <c r="A227" s="22"/>
      <c r="B227" s="22"/>
      <c r="C227" s="22"/>
      <c r="D227" s="22"/>
      <c r="E227" s="23"/>
      <c r="F227" s="23"/>
      <c r="G227" s="23"/>
      <c r="H227" s="23"/>
      <c r="I227" s="23"/>
      <c r="K227" s="23"/>
      <c r="L227" s="9"/>
      <c r="M227" s="23"/>
      <c r="N227" s="23"/>
      <c r="O227" s="23"/>
      <c r="P227" s="9"/>
      <c r="Q227" s="9"/>
      <c r="R227" s="23"/>
    </row>
    <row r="228" spans="1:18" x14ac:dyDescent="0.25">
      <c r="A228" s="22"/>
      <c r="B228" s="22"/>
      <c r="C228" s="22"/>
      <c r="D228" s="22"/>
      <c r="E228" s="23"/>
      <c r="F228" s="23"/>
      <c r="G228" s="23"/>
      <c r="H228" s="23"/>
      <c r="I228" s="23"/>
      <c r="K228" s="23"/>
      <c r="L228" s="9"/>
      <c r="M228" s="23"/>
      <c r="N228" s="23"/>
      <c r="O228" s="23"/>
      <c r="P228" s="9"/>
      <c r="Q228" s="9"/>
      <c r="R228" s="23"/>
    </row>
    <row r="229" spans="1:18" x14ac:dyDescent="0.25">
      <c r="A229" s="22"/>
      <c r="B229" s="22"/>
      <c r="C229" s="22"/>
      <c r="D229" s="22"/>
      <c r="E229" s="23"/>
      <c r="F229" s="23"/>
      <c r="G229" s="23"/>
      <c r="H229" s="23"/>
      <c r="I229" s="23"/>
      <c r="K229" s="23"/>
      <c r="L229" s="9"/>
      <c r="M229" s="23"/>
      <c r="N229" s="23"/>
      <c r="O229" s="23"/>
      <c r="P229" s="9"/>
      <c r="Q229" s="9"/>
      <c r="R229" s="23"/>
    </row>
    <row r="230" spans="1:18" ht="18" customHeight="1" x14ac:dyDescent="0.25">
      <c r="A230" s="120" t="s">
        <v>48</v>
      </c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2"/>
    </row>
    <row r="231" spans="1:18" ht="18.75" customHeight="1" x14ac:dyDescent="0.25">
      <c r="A231" s="86" t="s">
        <v>4</v>
      </c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1:18" ht="18" customHeight="1" x14ac:dyDescent="0.25">
      <c r="A232" s="87" t="s">
        <v>29</v>
      </c>
      <c r="B232" s="82" t="s">
        <v>0</v>
      </c>
      <c r="C232" s="87" t="s">
        <v>38</v>
      </c>
      <c r="D232" s="82" t="s">
        <v>1</v>
      </c>
      <c r="E232" s="82" t="s">
        <v>2</v>
      </c>
      <c r="F232" s="83" t="s">
        <v>67</v>
      </c>
      <c r="G232" s="83" t="s">
        <v>68</v>
      </c>
      <c r="H232" s="83" t="s">
        <v>69</v>
      </c>
      <c r="I232" s="82" t="s">
        <v>3</v>
      </c>
      <c r="J232" s="15"/>
      <c r="K232" s="8" t="s">
        <v>70</v>
      </c>
      <c r="L232" s="8"/>
      <c r="M232" s="8"/>
      <c r="N232" s="8"/>
      <c r="O232" s="82" t="s">
        <v>71</v>
      </c>
      <c r="P232" s="82"/>
      <c r="Q232" s="82"/>
      <c r="R232" s="82"/>
    </row>
    <row r="233" spans="1:18" ht="15" customHeight="1" x14ac:dyDescent="0.25">
      <c r="A233" s="87"/>
      <c r="B233" s="82"/>
      <c r="C233" s="87"/>
      <c r="D233" s="82"/>
      <c r="E233" s="82"/>
      <c r="F233" s="84"/>
      <c r="G233" s="84"/>
      <c r="H233" s="84"/>
      <c r="I233" s="82"/>
      <c r="J233" s="15"/>
      <c r="K233" s="30" t="s">
        <v>30</v>
      </c>
      <c r="L233" s="24" t="s">
        <v>31</v>
      </c>
      <c r="M233" s="24" t="s">
        <v>32</v>
      </c>
      <c r="N233" s="24" t="s">
        <v>33</v>
      </c>
      <c r="O233" s="24" t="s">
        <v>34</v>
      </c>
      <c r="P233" s="24" t="s">
        <v>77</v>
      </c>
      <c r="Q233" s="24" t="s">
        <v>36</v>
      </c>
      <c r="R233" s="24" t="s">
        <v>37</v>
      </c>
    </row>
    <row r="234" spans="1:18" ht="32.450000000000003" customHeight="1" x14ac:dyDescent="0.25">
      <c r="A234" s="1">
        <v>173</v>
      </c>
      <c r="B234" s="1" t="s">
        <v>7</v>
      </c>
      <c r="C234" s="4" t="s">
        <v>119</v>
      </c>
      <c r="D234" s="32" t="s">
        <v>90</v>
      </c>
      <c r="E234" s="2">
        <v>26.88</v>
      </c>
      <c r="F234" s="2">
        <v>9.4</v>
      </c>
      <c r="G234" s="2">
        <v>13.6</v>
      </c>
      <c r="H234" s="2">
        <v>50.4</v>
      </c>
      <c r="I234" s="2">
        <v>361.4</v>
      </c>
      <c r="J234" s="69"/>
      <c r="K234" s="2">
        <v>72.400000000000006</v>
      </c>
      <c r="L234" s="2">
        <v>20.8</v>
      </c>
      <c r="M234" s="2">
        <v>87.5</v>
      </c>
      <c r="N234" s="2">
        <v>0.5</v>
      </c>
      <c r="O234" s="2">
        <v>0.1</v>
      </c>
      <c r="P234" s="2">
        <v>8.9</v>
      </c>
      <c r="Q234" s="2">
        <v>0.4</v>
      </c>
      <c r="R234" s="2">
        <v>0.7</v>
      </c>
    </row>
    <row r="235" spans="1:18" ht="15" customHeight="1" x14ac:dyDescent="0.25">
      <c r="A235" s="1"/>
      <c r="B235" s="1" t="s">
        <v>8</v>
      </c>
      <c r="C235" s="31" t="s">
        <v>94</v>
      </c>
      <c r="D235" s="32">
        <v>60</v>
      </c>
      <c r="E235" s="35">
        <v>13.2</v>
      </c>
      <c r="F235" s="35">
        <v>3</v>
      </c>
      <c r="G235" s="35">
        <v>2.33</v>
      </c>
      <c r="H235" s="35">
        <v>37.5</v>
      </c>
      <c r="I235" s="35">
        <v>183.33</v>
      </c>
      <c r="J235" s="68"/>
      <c r="K235" s="35">
        <v>5</v>
      </c>
      <c r="L235" s="35">
        <v>5</v>
      </c>
      <c r="M235" s="35">
        <v>25</v>
      </c>
      <c r="N235" s="35">
        <v>0.33</v>
      </c>
      <c r="O235" s="35">
        <v>0</v>
      </c>
      <c r="P235" s="35">
        <v>0.03</v>
      </c>
      <c r="Q235" s="35">
        <v>0.33</v>
      </c>
      <c r="R235" s="35">
        <v>0</v>
      </c>
    </row>
    <row r="236" spans="1:18" ht="18" customHeight="1" x14ac:dyDescent="0.25">
      <c r="A236" s="1"/>
      <c r="B236" s="1" t="s">
        <v>9</v>
      </c>
      <c r="C236" s="5" t="s">
        <v>76</v>
      </c>
      <c r="D236" s="1">
        <v>40</v>
      </c>
      <c r="E236" s="2">
        <v>2.93</v>
      </c>
      <c r="F236" s="2">
        <v>3.16</v>
      </c>
      <c r="G236" s="2">
        <v>0.4</v>
      </c>
      <c r="H236" s="2">
        <v>19.32</v>
      </c>
      <c r="I236" s="2">
        <v>93.52</v>
      </c>
      <c r="J236" s="55"/>
      <c r="K236" s="2">
        <v>9.1999999999999993</v>
      </c>
      <c r="L236" s="2">
        <v>13.2</v>
      </c>
      <c r="M236" s="2">
        <v>34.799999999999997</v>
      </c>
      <c r="N236" s="2">
        <v>0.44</v>
      </c>
      <c r="O236" s="2">
        <v>0</v>
      </c>
      <c r="P236" s="2">
        <v>0.04</v>
      </c>
      <c r="Q236" s="2">
        <v>0.09</v>
      </c>
      <c r="R236" s="2">
        <v>0.1</v>
      </c>
    </row>
    <row r="237" spans="1:18" ht="18" customHeight="1" x14ac:dyDescent="0.25">
      <c r="A237" s="1">
        <v>376</v>
      </c>
      <c r="B237" s="1" t="s">
        <v>13</v>
      </c>
      <c r="C237" s="27" t="s">
        <v>16</v>
      </c>
      <c r="D237" s="1">
        <v>200</v>
      </c>
      <c r="E237" s="2">
        <v>1.88</v>
      </c>
      <c r="F237" s="2">
        <v>0.1</v>
      </c>
      <c r="G237" s="2">
        <v>0</v>
      </c>
      <c r="H237" s="2">
        <v>15</v>
      </c>
      <c r="I237" s="2">
        <v>60</v>
      </c>
      <c r="J237" s="49"/>
      <c r="K237" s="2">
        <v>5</v>
      </c>
      <c r="L237" s="2">
        <v>0</v>
      </c>
      <c r="M237" s="2">
        <v>0</v>
      </c>
      <c r="N237" s="2">
        <v>2</v>
      </c>
      <c r="O237" s="2">
        <v>0</v>
      </c>
      <c r="P237" s="2">
        <v>0</v>
      </c>
      <c r="Q237" s="2">
        <v>0</v>
      </c>
      <c r="R237" s="2">
        <v>0</v>
      </c>
    </row>
    <row r="238" spans="1:18" ht="18" customHeight="1" x14ac:dyDescent="0.25">
      <c r="A238" s="81" t="s">
        <v>11</v>
      </c>
      <c r="B238" s="81"/>
      <c r="C238" s="81"/>
      <c r="D238" s="24">
        <v>560</v>
      </c>
      <c r="E238" s="13">
        <f>SUM(E234:E237)</f>
        <v>44.89</v>
      </c>
      <c r="F238" s="13">
        <f>SUM(F233:F237)</f>
        <v>15.66</v>
      </c>
      <c r="G238" s="13">
        <f>SUM(G233:G237)</f>
        <v>16.329999999999998</v>
      </c>
      <c r="H238" s="13">
        <f>SUM(H233:H237)</f>
        <v>122.22</v>
      </c>
      <c r="I238" s="13">
        <f>SUM(I233:I237)</f>
        <v>698.25</v>
      </c>
      <c r="J238" s="49"/>
      <c r="K238" s="13">
        <f t="shared" ref="K238:R238" si="24">SUM(K234:K237)</f>
        <v>91.600000000000009</v>
      </c>
      <c r="L238" s="13">
        <f t="shared" si="24"/>
        <v>39</v>
      </c>
      <c r="M238" s="13">
        <f t="shared" si="24"/>
        <v>147.30000000000001</v>
      </c>
      <c r="N238" s="13">
        <f t="shared" si="24"/>
        <v>3.27</v>
      </c>
      <c r="O238" s="13">
        <f t="shared" si="24"/>
        <v>0.1</v>
      </c>
      <c r="P238" s="13">
        <f t="shared" si="24"/>
        <v>8.9699999999999989</v>
      </c>
      <c r="Q238" s="13">
        <f t="shared" si="24"/>
        <v>0.82</v>
      </c>
      <c r="R238" s="13">
        <f t="shared" si="24"/>
        <v>0.79999999999999993</v>
      </c>
    </row>
    <row r="239" spans="1:18" ht="18" customHeight="1" x14ac:dyDescent="0.25">
      <c r="A239" s="86" t="s">
        <v>12</v>
      </c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1:18" ht="18" customHeight="1" x14ac:dyDescent="0.25">
      <c r="A240" s="87" t="s">
        <v>29</v>
      </c>
      <c r="B240" s="82" t="s">
        <v>0</v>
      </c>
      <c r="C240" s="87" t="s">
        <v>38</v>
      </c>
      <c r="D240" s="82" t="s">
        <v>1</v>
      </c>
      <c r="E240" s="82" t="s">
        <v>2</v>
      </c>
      <c r="F240" s="83" t="s">
        <v>67</v>
      </c>
      <c r="G240" s="83" t="s">
        <v>68</v>
      </c>
      <c r="H240" s="83" t="s">
        <v>69</v>
      </c>
      <c r="I240" s="82" t="s">
        <v>3</v>
      </c>
      <c r="J240" s="15"/>
      <c r="K240" s="8" t="s">
        <v>70</v>
      </c>
      <c r="L240" s="8"/>
      <c r="M240" s="8"/>
      <c r="N240" s="8"/>
      <c r="O240" s="82" t="s">
        <v>71</v>
      </c>
      <c r="P240" s="82"/>
      <c r="Q240" s="82"/>
      <c r="R240" s="82"/>
    </row>
    <row r="241" spans="1:18" ht="15" customHeight="1" x14ac:dyDescent="0.25">
      <c r="A241" s="87"/>
      <c r="B241" s="82"/>
      <c r="C241" s="87"/>
      <c r="D241" s="82"/>
      <c r="E241" s="82"/>
      <c r="F241" s="84"/>
      <c r="G241" s="84"/>
      <c r="H241" s="84"/>
      <c r="I241" s="82"/>
      <c r="J241" s="15"/>
      <c r="K241" s="30" t="s">
        <v>30</v>
      </c>
      <c r="L241" s="24" t="s">
        <v>31</v>
      </c>
      <c r="M241" s="24" t="s">
        <v>32</v>
      </c>
      <c r="N241" s="24" t="s">
        <v>33</v>
      </c>
      <c r="O241" s="24" t="s">
        <v>34</v>
      </c>
      <c r="P241" s="24" t="s">
        <v>77</v>
      </c>
      <c r="Q241" s="24" t="s">
        <v>36</v>
      </c>
      <c r="R241" s="24" t="s">
        <v>37</v>
      </c>
    </row>
    <row r="242" spans="1:18" ht="18" customHeight="1" x14ac:dyDescent="0.25">
      <c r="A242" s="28">
        <v>71</v>
      </c>
      <c r="B242" s="1" t="s">
        <v>7</v>
      </c>
      <c r="C242" s="5" t="s">
        <v>88</v>
      </c>
      <c r="D242" s="1">
        <v>100</v>
      </c>
      <c r="E242" s="1">
        <v>15.78</v>
      </c>
      <c r="F242" s="67">
        <v>0.8</v>
      </c>
      <c r="G242" s="67">
        <v>0</v>
      </c>
      <c r="H242" s="67">
        <v>3.3</v>
      </c>
      <c r="I242" s="2">
        <v>16</v>
      </c>
      <c r="J242" s="49"/>
      <c r="K242" s="2">
        <v>23</v>
      </c>
      <c r="L242" s="2">
        <v>0</v>
      </c>
      <c r="M242" s="2">
        <v>0</v>
      </c>
      <c r="N242" s="2">
        <v>0.5</v>
      </c>
      <c r="O242" s="2">
        <v>0</v>
      </c>
      <c r="P242" s="2">
        <v>0</v>
      </c>
      <c r="Q242" s="2">
        <v>0</v>
      </c>
      <c r="R242" s="2">
        <v>5</v>
      </c>
    </row>
    <row r="243" spans="1:18" ht="18" customHeight="1" x14ac:dyDescent="0.25">
      <c r="A243" s="1">
        <v>96</v>
      </c>
      <c r="B243" s="1" t="s">
        <v>8</v>
      </c>
      <c r="C243" s="4" t="s">
        <v>74</v>
      </c>
      <c r="D243" s="32">
        <v>250</v>
      </c>
      <c r="E243" s="2">
        <v>12</v>
      </c>
      <c r="F243" s="2">
        <v>2.1</v>
      </c>
      <c r="G243" s="2">
        <v>5.0999999999999996</v>
      </c>
      <c r="H243" s="2">
        <v>20.5</v>
      </c>
      <c r="I243" s="2">
        <v>136.30000000000001</v>
      </c>
      <c r="J243" s="49"/>
      <c r="K243" s="2">
        <v>89.3</v>
      </c>
      <c r="L243" s="2">
        <v>13.5</v>
      </c>
      <c r="M243" s="2">
        <v>33.4</v>
      </c>
      <c r="N243" s="2">
        <v>1</v>
      </c>
      <c r="O243" s="2">
        <v>1.1000000000000001</v>
      </c>
      <c r="P243" s="2">
        <v>3.8</v>
      </c>
      <c r="Q243" s="2">
        <v>0.3</v>
      </c>
      <c r="R243" s="2">
        <v>2.1</v>
      </c>
    </row>
    <row r="244" spans="1:18" ht="18" customHeight="1" x14ac:dyDescent="0.25">
      <c r="A244" s="1">
        <v>234</v>
      </c>
      <c r="B244" s="1" t="s">
        <v>9</v>
      </c>
      <c r="C244" s="45" t="s">
        <v>58</v>
      </c>
      <c r="D244" s="1" t="s">
        <v>110</v>
      </c>
      <c r="E244" s="2">
        <v>33.58</v>
      </c>
      <c r="F244" s="2">
        <v>14.8</v>
      </c>
      <c r="G244" s="2">
        <v>18.8</v>
      </c>
      <c r="H244" s="2">
        <v>11.6</v>
      </c>
      <c r="I244" s="2">
        <v>274</v>
      </c>
      <c r="J244" s="49"/>
      <c r="K244" s="2">
        <v>139.30000000000001</v>
      </c>
      <c r="L244" s="2">
        <v>0</v>
      </c>
      <c r="M244" s="2">
        <v>0</v>
      </c>
      <c r="N244" s="2">
        <v>1</v>
      </c>
      <c r="O244" s="2">
        <v>0</v>
      </c>
      <c r="P244" s="2">
        <v>0.2</v>
      </c>
      <c r="Q244" s="2">
        <v>0</v>
      </c>
      <c r="R244" s="2">
        <v>6.8</v>
      </c>
    </row>
    <row r="245" spans="1:18" ht="18" customHeight="1" x14ac:dyDescent="0.25">
      <c r="A245" s="1">
        <v>142</v>
      </c>
      <c r="B245" s="1" t="s">
        <v>13</v>
      </c>
      <c r="C245" s="45" t="s">
        <v>73</v>
      </c>
      <c r="D245" s="1" t="s">
        <v>115</v>
      </c>
      <c r="E245" s="2">
        <v>18.03</v>
      </c>
      <c r="F245" s="2">
        <v>3.6</v>
      </c>
      <c r="G245" s="2">
        <v>9.5399999999999991</v>
      </c>
      <c r="H245" s="2">
        <v>35.76</v>
      </c>
      <c r="I245" s="2">
        <v>243.36</v>
      </c>
      <c r="J245" s="49"/>
      <c r="K245" s="2">
        <v>35.76</v>
      </c>
      <c r="L245" s="2">
        <v>0</v>
      </c>
      <c r="M245" s="2">
        <v>0</v>
      </c>
      <c r="N245" s="2">
        <v>1.92</v>
      </c>
      <c r="O245" s="2">
        <v>0</v>
      </c>
      <c r="P245" s="2">
        <v>0.48</v>
      </c>
      <c r="Q245" s="2">
        <v>0</v>
      </c>
      <c r="R245" s="2">
        <v>43.08</v>
      </c>
    </row>
    <row r="246" spans="1:18" ht="18" customHeight="1" x14ac:dyDescent="0.25">
      <c r="A246" s="1">
        <v>883</v>
      </c>
      <c r="B246" s="1" t="s">
        <v>14</v>
      </c>
      <c r="C246" s="4" t="s">
        <v>98</v>
      </c>
      <c r="D246" s="1">
        <v>200</v>
      </c>
      <c r="E246" s="2">
        <v>8.4600000000000009</v>
      </c>
      <c r="F246" s="2">
        <v>0</v>
      </c>
      <c r="G246" s="2">
        <v>0</v>
      </c>
      <c r="H246" s="2">
        <v>7.2</v>
      </c>
      <c r="I246" s="2">
        <v>36</v>
      </c>
      <c r="J246" s="49"/>
      <c r="K246" s="2">
        <v>29.5</v>
      </c>
      <c r="L246" s="2">
        <v>1</v>
      </c>
      <c r="M246" s="2">
        <v>0</v>
      </c>
      <c r="N246" s="2">
        <v>0</v>
      </c>
      <c r="O246" s="2">
        <v>0</v>
      </c>
      <c r="P246" s="2">
        <v>0.04</v>
      </c>
      <c r="Q246" s="2">
        <v>0</v>
      </c>
      <c r="R246" s="2">
        <v>15</v>
      </c>
    </row>
    <row r="247" spans="1:18" ht="18" customHeight="1" x14ac:dyDescent="0.25">
      <c r="A247" s="1"/>
      <c r="B247" s="1" t="s">
        <v>15</v>
      </c>
      <c r="C247" s="4" t="s">
        <v>95</v>
      </c>
      <c r="D247" s="32">
        <v>40</v>
      </c>
      <c r="E247" s="2">
        <v>2.93</v>
      </c>
      <c r="F247" s="2">
        <v>1.68</v>
      </c>
      <c r="G247" s="2">
        <v>0.33</v>
      </c>
      <c r="H247" s="2">
        <v>14.82</v>
      </c>
      <c r="I247" s="2">
        <v>68.97</v>
      </c>
      <c r="J247" s="49"/>
      <c r="K247" s="2">
        <v>6.9</v>
      </c>
      <c r="L247" s="2">
        <v>7.5</v>
      </c>
      <c r="M247" s="2">
        <v>31.799999999999997</v>
      </c>
      <c r="N247" s="2">
        <v>0.92999999999999994</v>
      </c>
      <c r="O247" s="2">
        <v>0</v>
      </c>
      <c r="P247" s="2">
        <v>0.03</v>
      </c>
      <c r="Q247" s="2">
        <v>0</v>
      </c>
      <c r="R247" s="2">
        <v>0</v>
      </c>
    </row>
    <row r="248" spans="1:18" ht="18" customHeight="1" x14ac:dyDescent="0.25">
      <c r="A248" s="1"/>
      <c r="B248" s="1" t="s">
        <v>78</v>
      </c>
      <c r="C248" s="27" t="s">
        <v>80</v>
      </c>
      <c r="D248" s="32">
        <v>70</v>
      </c>
      <c r="E248" s="35">
        <v>5.13</v>
      </c>
      <c r="F248" s="2">
        <v>2.37</v>
      </c>
      <c r="G248" s="2">
        <v>0.3</v>
      </c>
      <c r="H248" s="2">
        <v>14.49</v>
      </c>
      <c r="I248" s="2">
        <v>70.14</v>
      </c>
      <c r="J248" s="49"/>
      <c r="K248" s="2">
        <v>6.8999999999999995</v>
      </c>
      <c r="L248" s="2">
        <v>9.8999999999999986</v>
      </c>
      <c r="M248" s="2">
        <v>26.099999999999998</v>
      </c>
      <c r="N248" s="2">
        <v>0.33</v>
      </c>
      <c r="O248" s="2">
        <v>0</v>
      </c>
      <c r="P248" s="2">
        <v>0.03</v>
      </c>
      <c r="Q248" s="2">
        <v>0</v>
      </c>
      <c r="R248" s="2">
        <v>0</v>
      </c>
    </row>
    <row r="249" spans="1:18" ht="18" customHeight="1" x14ac:dyDescent="0.25">
      <c r="A249" s="1">
        <v>386</v>
      </c>
      <c r="B249" s="1" t="s">
        <v>91</v>
      </c>
      <c r="C249" s="27" t="s">
        <v>92</v>
      </c>
      <c r="D249" s="1">
        <v>100</v>
      </c>
      <c r="E249" s="2">
        <v>12.36</v>
      </c>
      <c r="F249" s="2">
        <v>3</v>
      </c>
      <c r="G249" s="2">
        <v>1</v>
      </c>
      <c r="H249" s="2">
        <v>4.2</v>
      </c>
      <c r="I249" s="2">
        <v>40</v>
      </c>
      <c r="J249" s="49"/>
      <c r="K249" s="2">
        <v>124</v>
      </c>
      <c r="L249" s="2">
        <v>14</v>
      </c>
      <c r="M249" s="2">
        <v>92</v>
      </c>
      <c r="N249" s="2">
        <v>0.1</v>
      </c>
      <c r="O249" s="2">
        <v>0</v>
      </c>
      <c r="P249" s="2">
        <v>0.03</v>
      </c>
      <c r="Q249" s="2">
        <v>0.1</v>
      </c>
      <c r="R249" s="2">
        <v>0.3</v>
      </c>
    </row>
    <row r="250" spans="1:18" ht="18" customHeight="1" x14ac:dyDescent="0.25">
      <c r="A250" s="81" t="s">
        <v>11</v>
      </c>
      <c r="B250" s="81"/>
      <c r="C250" s="81"/>
      <c r="D250" s="24">
        <v>1045</v>
      </c>
      <c r="E250" s="24">
        <f t="shared" ref="E250:R250" si="25">SUM(E242:E249)</f>
        <v>108.27</v>
      </c>
      <c r="F250" s="13">
        <f t="shared" si="25"/>
        <v>28.350000000000005</v>
      </c>
      <c r="G250" s="13">
        <f t="shared" si="25"/>
        <v>35.069999999999993</v>
      </c>
      <c r="H250" s="13">
        <f t="shared" si="25"/>
        <v>111.87</v>
      </c>
      <c r="I250" s="13">
        <f t="shared" si="25"/>
        <v>884.7700000000001</v>
      </c>
      <c r="J250" s="13">
        <f t="shared" si="25"/>
        <v>0</v>
      </c>
      <c r="K250" s="13">
        <f t="shared" si="25"/>
        <v>454.65999999999997</v>
      </c>
      <c r="L250" s="13">
        <f t="shared" si="25"/>
        <v>45.9</v>
      </c>
      <c r="M250" s="13">
        <f t="shared" si="25"/>
        <v>183.29999999999998</v>
      </c>
      <c r="N250" s="13">
        <f t="shared" si="25"/>
        <v>5.7799999999999994</v>
      </c>
      <c r="O250" s="13">
        <f t="shared" si="25"/>
        <v>1.1000000000000001</v>
      </c>
      <c r="P250" s="13">
        <f t="shared" si="25"/>
        <v>4.6100000000000012</v>
      </c>
      <c r="Q250" s="13">
        <f t="shared" si="25"/>
        <v>0.4</v>
      </c>
      <c r="R250" s="13">
        <f t="shared" si="25"/>
        <v>72.279999999999987</v>
      </c>
    </row>
    <row r="251" spans="1:18" ht="18" customHeight="1" x14ac:dyDescent="0.25">
      <c r="A251" s="85" t="s">
        <v>17</v>
      </c>
      <c r="B251" s="85"/>
      <c r="C251" s="85"/>
      <c r="D251" s="85"/>
      <c r="E251" s="13">
        <f>E238+E250</f>
        <v>153.16</v>
      </c>
      <c r="F251" s="13">
        <f>F238+F250</f>
        <v>44.010000000000005</v>
      </c>
      <c r="G251" s="13">
        <f t="shared" ref="G251:R251" si="26">G238+G250</f>
        <v>51.399999999999991</v>
      </c>
      <c r="H251" s="13">
        <f t="shared" si="26"/>
        <v>234.09</v>
      </c>
      <c r="I251" s="13">
        <f t="shared" si="26"/>
        <v>1583.02</v>
      </c>
      <c r="J251" s="13">
        <f t="shared" si="26"/>
        <v>0</v>
      </c>
      <c r="K251" s="13">
        <f t="shared" si="26"/>
        <v>546.26</v>
      </c>
      <c r="L251" s="13">
        <f t="shared" si="26"/>
        <v>84.9</v>
      </c>
      <c r="M251" s="13">
        <f t="shared" si="26"/>
        <v>330.6</v>
      </c>
      <c r="N251" s="13">
        <f t="shared" si="26"/>
        <v>9.0499999999999989</v>
      </c>
      <c r="O251" s="13">
        <f t="shared" si="26"/>
        <v>1.2000000000000002</v>
      </c>
      <c r="P251" s="13">
        <f t="shared" si="26"/>
        <v>13.58</v>
      </c>
      <c r="Q251" s="13">
        <f t="shared" si="26"/>
        <v>1.22</v>
      </c>
      <c r="R251" s="13">
        <f t="shared" si="26"/>
        <v>73.079999999999984</v>
      </c>
    </row>
    <row r="252" spans="1:18" x14ac:dyDescent="0.25">
      <c r="A252" s="16"/>
      <c r="B252" s="16"/>
      <c r="C252" s="16"/>
      <c r="D252" s="16"/>
      <c r="E252" s="18"/>
      <c r="F252" s="18"/>
      <c r="G252" s="18"/>
      <c r="H252" s="18"/>
      <c r="I252" s="18"/>
      <c r="J252" s="20"/>
      <c r="K252" s="18"/>
      <c r="L252" s="18"/>
      <c r="M252" s="18"/>
      <c r="N252" s="18"/>
      <c r="O252" s="18"/>
      <c r="P252" s="18"/>
      <c r="Q252" s="18"/>
      <c r="R252" s="18"/>
    </row>
    <row r="253" spans="1:18" x14ac:dyDescent="0.25">
      <c r="A253" s="16"/>
      <c r="B253" s="16"/>
      <c r="C253" s="16"/>
      <c r="D253" s="16"/>
      <c r="E253" s="18"/>
      <c r="F253" s="18"/>
      <c r="G253" s="18"/>
      <c r="H253" s="18"/>
      <c r="I253" s="18"/>
      <c r="J253" s="20"/>
      <c r="K253" s="18"/>
      <c r="L253" s="18"/>
      <c r="M253" s="18"/>
      <c r="N253" s="18"/>
      <c r="O253" s="18"/>
      <c r="P253" s="18"/>
      <c r="Q253" s="18"/>
      <c r="R253" s="18"/>
    </row>
    <row r="254" spans="1:18" x14ac:dyDescent="0.25">
      <c r="A254" s="16"/>
      <c r="B254" s="16"/>
      <c r="C254" s="16"/>
      <c r="D254" s="16"/>
      <c r="E254" s="18"/>
      <c r="F254" s="18"/>
      <c r="G254" s="18"/>
      <c r="H254" s="18"/>
      <c r="I254" s="18"/>
      <c r="J254" s="20"/>
      <c r="K254" s="18"/>
      <c r="L254" s="18"/>
      <c r="M254" s="18"/>
      <c r="N254" s="18"/>
      <c r="O254" s="18"/>
      <c r="P254" s="18"/>
      <c r="Q254" s="18"/>
      <c r="R254" s="18"/>
    </row>
    <row r="255" spans="1:18" x14ac:dyDescent="0.25">
      <c r="A255" s="16"/>
      <c r="B255" s="16"/>
      <c r="C255" s="16"/>
      <c r="D255" s="16"/>
      <c r="E255" s="18"/>
      <c r="F255" s="18"/>
      <c r="G255" s="18"/>
      <c r="H255" s="18"/>
      <c r="I255" s="18"/>
      <c r="J255" s="20"/>
      <c r="K255" s="18"/>
      <c r="L255" s="18"/>
      <c r="M255" s="18"/>
      <c r="N255" s="18"/>
      <c r="O255" s="18"/>
      <c r="P255" s="18"/>
      <c r="Q255" s="18"/>
      <c r="R255" s="18"/>
    </row>
    <row r="256" spans="1:18" x14ac:dyDescent="0.25">
      <c r="A256" s="16"/>
      <c r="B256" s="16"/>
      <c r="C256" s="16"/>
      <c r="D256" s="16"/>
      <c r="E256" s="18"/>
      <c r="F256" s="18"/>
      <c r="G256" s="18"/>
      <c r="H256" s="18"/>
      <c r="I256" s="18"/>
      <c r="J256" s="20"/>
      <c r="K256" s="18"/>
      <c r="L256" s="18"/>
      <c r="M256" s="18"/>
      <c r="N256" s="18"/>
      <c r="O256" s="18"/>
      <c r="P256" s="18"/>
      <c r="Q256" s="18"/>
      <c r="R256" s="18"/>
    </row>
    <row r="257" spans="1:18" x14ac:dyDescent="0.25">
      <c r="A257" s="16"/>
      <c r="B257" s="16"/>
      <c r="C257" s="16"/>
      <c r="D257" s="16"/>
      <c r="E257" s="18"/>
      <c r="F257" s="18"/>
      <c r="G257" s="18"/>
      <c r="H257" s="18"/>
      <c r="I257" s="18"/>
      <c r="J257" s="20"/>
      <c r="K257" s="18"/>
      <c r="L257" s="18"/>
      <c r="M257" s="18"/>
      <c r="N257" s="18"/>
      <c r="O257" s="18"/>
      <c r="P257" s="18"/>
      <c r="Q257" s="18"/>
      <c r="R257" s="18"/>
    </row>
    <row r="258" spans="1:18" x14ac:dyDescent="0.25">
      <c r="A258" s="16"/>
      <c r="B258" s="16"/>
      <c r="C258" s="16"/>
      <c r="D258" s="16"/>
      <c r="E258" s="18"/>
      <c r="F258" s="18"/>
      <c r="G258" s="18"/>
      <c r="H258" s="18"/>
      <c r="I258" s="18"/>
      <c r="J258" s="20"/>
      <c r="K258" s="18"/>
      <c r="L258" s="18"/>
      <c r="M258" s="18"/>
      <c r="N258" s="18"/>
      <c r="O258" s="18"/>
      <c r="P258" s="18"/>
      <c r="Q258" s="18"/>
      <c r="R258" s="18"/>
    </row>
    <row r="259" spans="1:18" ht="18" customHeight="1" x14ac:dyDescent="0.25">
      <c r="A259" s="89" t="s">
        <v>49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1"/>
    </row>
    <row r="260" spans="1:18" ht="18.75" customHeight="1" x14ac:dyDescent="0.25">
      <c r="A260" s="86" t="s">
        <v>4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</row>
    <row r="261" spans="1:18" ht="18" customHeight="1" x14ac:dyDescent="0.25">
      <c r="A261" s="87" t="s">
        <v>29</v>
      </c>
      <c r="B261" s="82" t="s">
        <v>0</v>
      </c>
      <c r="C261" s="87" t="s">
        <v>38</v>
      </c>
      <c r="D261" s="82" t="s">
        <v>1</v>
      </c>
      <c r="E261" s="82" t="s">
        <v>2</v>
      </c>
      <c r="F261" s="83" t="s">
        <v>67</v>
      </c>
      <c r="G261" s="83" t="s">
        <v>68</v>
      </c>
      <c r="H261" s="83" t="s">
        <v>69</v>
      </c>
      <c r="I261" s="82" t="s">
        <v>3</v>
      </c>
      <c r="J261" s="15"/>
      <c r="K261" s="8" t="s">
        <v>70</v>
      </c>
      <c r="L261" s="8"/>
      <c r="M261" s="8"/>
      <c r="N261" s="8"/>
      <c r="O261" s="82" t="s">
        <v>71</v>
      </c>
      <c r="P261" s="82"/>
      <c r="Q261" s="82"/>
      <c r="R261" s="82"/>
    </row>
    <row r="262" spans="1:18" ht="15" customHeight="1" x14ac:dyDescent="0.25">
      <c r="A262" s="87"/>
      <c r="B262" s="82"/>
      <c r="C262" s="87"/>
      <c r="D262" s="82"/>
      <c r="E262" s="82"/>
      <c r="F262" s="84"/>
      <c r="G262" s="84"/>
      <c r="H262" s="84"/>
      <c r="I262" s="82"/>
      <c r="J262" s="15"/>
      <c r="K262" s="30" t="s">
        <v>30</v>
      </c>
      <c r="L262" s="24" t="s">
        <v>31</v>
      </c>
      <c r="M262" s="24" t="s">
        <v>32</v>
      </c>
      <c r="N262" s="24" t="s">
        <v>33</v>
      </c>
      <c r="O262" s="24" t="s">
        <v>34</v>
      </c>
      <c r="P262" s="24" t="s">
        <v>77</v>
      </c>
      <c r="Q262" s="24" t="s">
        <v>36</v>
      </c>
      <c r="R262" s="24" t="s">
        <v>37</v>
      </c>
    </row>
    <row r="263" spans="1:18" ht="18" customHeight="1" x14ac:dyDescent="0.25">
      <c r="A263" s="1" t="s">
        <v>124</v>
      </c>
      <c r="B263" s="32" t="s">
        <v>7</v>
      </c>
      <c r="C263" s="45" t="s">
        <v>52</v>
      </c>
      <c r="D263" s="32" t="s">
        <v>123</v>
      </c>
      <c r="E263" s="32">
        <v>50.75</v>
      </c>
      <c r="F263" s="35">
        <v>11.666666666666666</v>
      </c>
      <c r="G263" s="35">
        <v>19.111111111111111</v>
      </c>
      <c r="H263" s="2">
        <v>17.333333333333332</v>
      </c>
      <c r="I263" s="2">
        <v>287</v>
      </c>
      <c r="J263" s="69"/>
      <c r="K263" s="2">
        <v>56.222222222222221</v>
      </c>
      <c r="L263" s="2">
        <v>27.666666666666668</v>
      </c>
      <c r="M263" s="2">
        <v>137.55555555555554</v>
      </c>
      <c r="N263" s="2">
        <v>1.2222222222222223</v>
      </c>
      <c r="O263" s="2">
        <v>49.666666666666664</v>
      </c>
      <c r="P263" s="2">
        <v>3.5000000000000003E-2</v>
      </c>
      <c r="Q263" s="2">
        <v>0</v>
      </c>
      <c r="R263" s="2">
        <v>1.2222222222222223</v>
      </c>
    </row>
    <row r="264" spans="1:18" ht="18" customHeight="1" x14ac:dyDescent="0.25">
      <c r="A264" s="1">
        <v>171</v>
      </c>
      <c r="B264" s="1" t="s">
        <v>8</v>
      </c>
      <c r="C264" s="44" t="s">
        <v>59</v>
      </c>
      <c r="D264" s="1">
        <v>180</v>
      </c>
      <c r="E264" s="2">
        <v>19.82</v>
      </c>
      <c r="F264" s="2">
        <v>7.56</v>
      </c>
      <c r="G264" s="2">
        <v>11.88</v>
      </c>
      <c r="H264" s="2">
        <v>56.04</v>
      </c>
      <c r="I264" s="2">
        <v>300.89999999999998</v>
      </c>
      <c r="J264" s="49"/>
      <c r="K264" s="2">
        <v>136.69999999999999</v>
      </c>
      <c r="L264" s="2">
        <v>1.4</v>
      </c>
      <c r="M264" s="2">
        <v>22.2</v>
      </c>
      <c r="N264" s="2">
        <v>1.2</v>
      </c>
      <c r="O264" s="2">
        <v>1.2</v>
      </c>
      <c r="P264" s="2">
        <v>0.1</v>
      </c>
      <c r="Q264" s="2">
        <v>0</v>
      </c>
      <c r="R264" s="2">
        <v>0</v>
      </c>
    </row>
    <row r="265" spans="1:18" ht="18" customHeight="1" x14ac:dyDescent="0.25">
      <c r="A265" s="1"/>
      <c r="B265" s="1" t="s">
        <v>9</v>
      </c>
      <c r="C265" s="27" t="s">
        <v>76</v>
      </c>
      <c r="D265" s="1">
        <v>40</v>
      </c>
      <c r="E265" s="2">
        <v>2.93</v>
      </c>
      <c r="F265" s="2">
        <v>3.16</v>
      </c>
      <c r="G265" s="2">
        <v>0.4</v>
      </c>
      <c r="H265" s="2">
        <v>19.32</v>
      </c>
      <c r="I265" s="2">
        <v>93.52</v>
      </c>
      <c r="J265" s="49"/>
      <c r="K265" s="2">
        <v>9.1999999999999993</v>
      </c>
      <c r="L265" s="2">
        <v>13.2</v>
      </c>
      <c r="M265" s="2">
        <v>34.799999999999997</v>
      </c>
      <c r="N265" s="2">
        <v>0.44</v>
      </c>
      <c r="O265" s="2">
        <v>0</v>
      </c>
      <c r="P265" s="2">
        <v>0.04</v>
      </c>
      <c r="Q265" s="2">
        <v>0.09</v>
      </c>
      <c r="R265" s="2">
        <v>0.1</v>
      </c>
    </row>
    <row r="266" spans="1:18" ht="18" customHeight="1" x14ac:dyDescent="0.25">
      <c r="A266" s="1">
        <v>377</v>
      </c>
      <c r="B266" s="1" t="s">
        <v>13</v>
      </c>
      <c r="C266" s="27" t="s">
        <v>26</v>
      </c>
      <c r="D266" s="1">
        <v>200</v>
      </c>
      <c r="E266" s="2">
        <v>4.4400000000000004</v>
      </c>
      <c r="F266" s="2">
        <v>0.2</v>
      </c>
      <c r="G266" s="2">
        <v>0</v>
      </c>
      <c r="H266" s="2">
        <v>16</v>
      </c>
      <c r="I266" s="2">
        <v>65</v>
      </c>
      <c r="J266" s="49"/>
      <c r="K266" s="2">
        <v>225.1</v>
      </c>
      <c r="L266" s="2">
        <v>198.2</v>
      </c>
      <c r="M266" s="2">
        <v>371.1</v>
      </c>
      <c r="N266" s="2">
        <v>36.799999999999997</v>
      </c>
      <c r="O266" s="2">
        <v>0</v>
      </c>
      <c r="P266" s="2">
        <v>1.1000000000000001</v>
      </c>
      <c r="Q266" s="2">
        <v>3.6</v>
      </c>
      <c r="R266" s="2">
        <v>7.3</v>
      </c>
    </row>
    <row r="267" spans="1:18" ht="18" customHeight="1" x14ac:dyDescent="0.25">
      <c r="A267" s="81" t="s">
        <v>11</v>
      </c>
      <c r="B267" s="81"/>
      <c r="C267" s="81"/>
      <c r="D267" s="24">
        <v>550</v>
      </c>
      <c r="E267" s="13">
        <f>SUM(E262:E266)</f>
        <v>77.94</v>
      </c>
      <c r="F267" s="13">
        <f>SUM(F262:F266)</f>
        <v>22.586666666666666</v>
      </c>
      <c r="G267" s="13">
        <f>SUM(G262:G266)</f>
        <v>31.391111111111108</v>
      </c>
      <c r="H267" s="13">
        <f>SUM(H262:H266)</f>
        <v>108.69333333333333</v>
      </c>
      <c r="I267" s="13">
        <f>SUM(I262:I266)</f>
        <v>746.42</v>
      </c>
      <c r="J267" s="49"/>
      <c r="K267" s="13">
        <f t="shared" ref="K267:R267" si="27">SUM(K263:K266)</f>
        <v>427.22222222222217</v>
      </c>
      <c r="L267" s="13">
        <f t="shared" si="27"/>
        <v>240.46666666666664</v>
      </c>
      <c r="M267" s="13">
        <f t="shared" si="27"/>
        <v>565.65555555555557</v>
      </c>
      <c r="N267" s="13">
        <f t="shared" si="27"/>
        <v>39.662222222222219</v>
      </c>
      <c r="O267" s="13">
        <f t="shared" si="27"/>
        <v>50.866666666666667</v>
      </c>
      <c r="P267" s="13">
        <f t="shared" si="27"/>
        <v>1.2750000000000001</v>
      </c>
      <c r="Q267" s="13">
        <f t="shared" si="27"/>
        <v>3.69</v>
      </c>
      <c r="R267" s="13">
        <f t="shared" si="27"/>
        <v>8.6222222222222218</v>
      </c>
    </row>
    <row r="268" spans="1:18" ht="18" customHeight="1" x14ac:dyDescent="0.25">
      <c r="A268" s="92" t="s">
        <v>12</v>
      </c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4"/>
    </row>
    <row r="269" spans="1:18" ht="18" customHeight="1" x14ac:dyDescent="0.25">
      <c r="A269" s="87" t="s">
        <v>29</v>
      </c>
      <c r="B269" s="82" t="s">
        <v>0</v>
      </c>
      <c r="C269" s="87" t="s">
        <v>38</v>
      </c>
      <c r="D269" s="82" t="s">
        <v>1</v>
      </c>
      <c r="E269" s="82" t="s">
        <v>2</v>
      </c>
      <c r="F269" s="83" t="s">
        <v>67</v>
      </c>
      <c r="G269" s="83" t="s">
        <v>68</v>
      </c>
      <c r="H269" s="83" t="s">
        <v>69</v>
      </c>
      <c r="I269" s="82" t="s">
        <v>3</v>
      </c>
      <c r="J269" s="15"/>
      <c r="K269" s="8" t="s">
        <v>70</v>
      </c>
      <c r="L269" s="8"/>
      <c r="M269" s="8"/>
      <c r="N269" s="8"/>
      <c r="O269" s="82" t="s">
        <v>71</v>
      </c>
      <c r="P269" s="82"/>
      <c r="Q269" s="82"/>
      <c r="R269" s="82"/>
    </row>
    <row r="270" spans="1:18" ht="15" customHeight="1" x14ac:dyDescent="0.25">
      <c r="A270" s="87"/>
      <c r="B270" s="82"/>
      <c r="C270" s="87"/>
      <c r="D270" s="82"/>
      <c r="E270" s="82"/>
      <c r="F270" s="84"/>
      <c r="G270" s="84"/>
      <c r="H270" s="84"/>
      <c r="I270" s="82"/>
      <c r="J270" s="15"/>
      <c r="K270" s="30" t="s">
        <v>30</v>
      </c>
      <c r="L270" s="24" t="s">
        <v>31</v>
      </c>
      <c r="M270" s="24" t="s">
        <v>32</v>
      </c>
      <c r="N270" s="24" t="s">
        <v>33</v>
      </c>
      <c r="O270" s="24" t="s">
        <v>34</v>
      </c>
      <c r="P270" s="24" t="s">
        <v>77</v>
      </c>
      <c r="Q270" s="24" t="s">
        <v>36</v>
      </c>
      <c r="R270" s="24" t="s">
        <v>37</v>
      </c>
    </row>
    <row r="271" spans="1:18" ht="18" customHeight="1" x14ac:dyDescent="0.25">
      <c r="A271" s="28">
        <v>45</v>
      </c>
      <c r="B271" s="1" t="s">
        <v>7</v>
      </c>
      <c r="C271" s="5" t="s">
        <v>121</v>
      </c>
      <c r="D271" s="1">
        <v>100</v>
      </c>
      <c r="E271" s="1">
        <v>8.2200000000000006</v>
      </c>
      <c r="F271" s="52">
        <v>1.3</v>
      </c>
      <c r="G271" s="52">
        <v>4.7</v>
      </c>
      <c r="H271" s="52">
        <v>10.3</v>
      </c>
      <c r="I271" s="1">
        <v>88</v>
      </c>
      <c r="J271" s="1"/>
      <c r="K271" s="1">
        <v>37.299999999999997</v>
      </c>
      <c r="L271" s="1">
        <v>15.2</v>
      </c>
      <c r="M271" s="1">
        <v>27.7</v>
      </c>
      <c r="N271" s="1">
        <v>0.5</v>
      </c>
      <c r="O271" s="1">
        <v>0</v>
      </c>
      <c r="P271" s="1">
        <v>0</v>
      </c>
      <c r="Q271" s="1">
        <v>0</v>
      </c>
      <c r="R271" s="1">
        <v>32.5</v>
      </c>
    </row>
    <row r="272" spans="1:18" ht="17.25" customHeight="1" x14ac:dyDescent="0.25">
      <c r="A272" s="1">
        <v>102</v>
      </c>
      <c r="B272" s="1" t="s">
        <v>8</v>
      </c>
      <c r="C272" s="4" t="s">
        <v>133</v>
      </c>
      <c r="D272" s="32">
        <v>250</v>
      </c>
      <c r="E272" s="1">
        <v>7.28</v>
      </c>
      <c r="F272" s="2">
        <f>5.1*250/200</f>
        <v>6.375</v>
      </c>
      <c r="G272" s="2">
        <f>5.4*250/200</f>
        <v>6.75</v>
      </c>
      <c r="H272" s="2">
        <f>23.9*250/200</f>
        <v>29.875</v>
      </c>
      <c r="I272" s="2">
        <f>163.8*250/200</f>
        <v>204.75</v>
      </c>
      <c r="J272" s="69"/>
      <c r="K272" s="2">
        <f>45.8*250/200</f>
        <v>57.25</v>
      </c>
      <c r="L272" s="2">
        <f>35.5*250/200</f>
        <v>44.375</v>
      </c>
      <c r="M272" s="2">
        <v>0</v>
      </c>
      <c r="N272" s="2">
        <f>4.6*250/200</f>
        <v>5.75</v>
      </c>
      <c r="O272" s="2">
        <v>0</v>
      </c>
      <c r="P272" s="2">
        <v>0</v>
      </c>
      <c r="Q272" s="2">
        <v>0</v>
      </c>
      <c r="R272" s="2">
        <f>11.2*250/200</f>
        <v>14</v>
      </c>
    </row>
    <row r="273" spans="1:18" ht="18" customHeight="1" x14ac:dyDescent="0.25">
      <c r="A273" s="1">
        <v>229</v>
      </c>
      <c r="B273" s="1" t="s">
        <v>9</v>
      </c>
      <c r="C273" s="6" t="s">
        <v>128</v>
      </c>
      <c r="D273" s="32" t="s">
        <v>123</v>
      </c>
      <c r="E273" s="1">
        <v>31.31</v>
      </c>
      <c r="F273" s="2">
        <v>11.83</v>
      </c>
      <c r="G273" s="2">
        <v>6.24</v>
      </c>
      <c r="H273" s="2">
        <v>6.24</v>
      </c>
      <c r="I273" s="2">
        <v>128.69999999999999</v>
      </c>
      <c r="J273" s="69"/>
      <c r="K273" s="2">
        <v>46.14</v>
      </c>
      <c r="L273" s="2">
        <v>44.38</v>
      </c>
      <c r="M273" s="2">
        <v>168.49</v>
      </c>
      <c r="N273" s="2">
        <v>0.86</v>
      </c>
      <c r="O273" s="2">
        <v>1.98</v>
      </c>
      <c r="P273" s="2">
        <v>6.76</v>
      </c>
      <c r="Q273" s="2">
        <v>1.04</v>
      </c>
      <c r="R273" s="2">
        <v>3.12</v>
      </c>
    </row>
    <row r="274" spans="1:18" ht="18" customHeight="1" x14ac:dyDescent="0.25">
      <c r="A274" s="1">
        <v>143</v>
      </c>
      <c r="B274" s="32" t="s">
        <v>13</v>
      </c>
      <c r="C274" s="45" t="s">
        <v>57</v>
      </c>
      <c r="D274" s="32">
        <v>180</v>
      </c>
      <c r="E274" s="35">
        <v>23.86</v>
      </c>
      <c r="F274" s="35">
        <v>2.52</v>
      </c>
      <c r="G274" s="35">
        <v>14.52</v>
      </c>
      <c r="H274" s="2">
        <v>18.600000000000001</v>
      </c>
      <c r="I274" s="2">
        <v>214.32</v>
      </c>
      <c r="J274" s="49"/>
      <c r="K274" s="2">
        <v>28.68</v>
      </c>
      <c r="L274" s="2">
        <v>33.36</v>
      </c>
      <c r="M274" s="2">
        <v>74.16</v>
      </c>
      <c r="N274" s="2">
        <v>1.1759999999999999</v>
      </c>
      <c r="O274" s="2">
        <v>37.200000000000003</v>
      </c>
      <c r="P274" s="2">
        <v>8.4000000000000005E-2</v>
      </c>
      <c r="Q274" s="2">
        <v>0</v>
      </c>
      <c r="R274" s="2">
        <v>10.404</v>
      </c>
    </row>
    <row r="275" spans="1:18" ht="18" customHeight="1" x14ac:dyDescent="0.25">
      <c r="A275" s="1">
        <v>1041</v>
      </c>
      <c r="B275" s="1" t="s">
        <v>14</v>
      </c>
      <c r="C275" s="4" t="s">
        <v>60</v>
      </c>
      <c r="D275" s="1">
        <v>200</v>
      </c>
      <c r="E275" s="2">
        <v>8.8000000000000007</v>
      </c>
      <c r="F275" s="2">
        <v>0.1</v>
      </c>
      <c r="G275" s="2">
        <v>0</v>
      </c>
      <c r="H275" s="2">
        <v>27.1</v>
      </c>
      <c r="I275" s="2">
        <v>108.6</v>
      </c>
      <c r="J275" s="69"/>
      <c r="K275" s="2">
        <v>23.52</v>
      </c>
      <c r="L275" s="2">
        <v>0</v>
      </c>
      <c r="M275" s="55">
        <v>0</v>
      </c>
      <c r="N275" s="2">
        <v>0.24</v>
      </c>
      <c r="O275" s="55">
        <v>0</v>
      </c>
      <c r="P275" s="55">
        <v>0.03</v>
      </c>
      <c r="Q275" s="55">
        <v>0</v>
      </c>
      <c r="R275" s="55">
        <v>12.9</v>
      </c>
    </row>
    <row r="276" spans="1:18" ht="18" customHeight="1" x14ac:dyDescent="0.25">
      <c r="A276" s="1"/>
      <c r="B276" s="1" t="s">
        <v>15</v>
      </c>
      <c r="C276" s="4" t="s">
        <v>95</v>
      </c>
      <c r="D276" s="32">
        <v>40</v>
      </c>
      <c r="E276" s="2">
        <v>2.93</v>
      </c>
      <c r="F276" s="2">
        <v>1.68</v>
      </c>
      <c r="G276" s="2">
        <v>0.33</v>
      </c>
      <c r="H276" s="2">
        <v>14.82</v>
      </c>
      <c r="I276" s="2">
        <v>68.97</v>
      </c>
      <c r="J276" s="69"/>
      <c r="K276" s="2">
        <v>6.9</v>
      </c>
      <c r="L276" s="2">
        <v>7.5</v>
      </c>
      <c r="M276" s="55">
        <v>31.799999999999997</v>
      </c>
      <c r="N276" s="2">
        <v>0.92999999999999994</v>
      </c>
      <c r="O276" s="55">
        <v>0</v>
      </c>
      <c r="P276" s="55">
        <v>0.03</v>
      </c>
      <c r="Q276" s="55">
        <v>0</v>
      </c>
      <c r="R276" s="55">
        <v>0</v>
      </c>
    </row>
    <row r="277" spans="1:18" ht="18" customHeight="1" x14ac:dyDescent="0.25">
      <c r="A277" s="1"/>
      <c r="B277" s="1" t="s">
        <v>78</v>
      </c>
      <c r="C277" s="27" t="s">
        <v>80</v>
      </c>
      <c r="D277" s="32">
        <v>70</v>
      </c>
      <c r="E277" s="35">
        <v>5.13</v>
      </c>
      <c r="F277" s="2">
        <v>2.37</v>
      </c>
      <c r="G277" s="2">
        <v>0.3</v>
      </c>
      <c r="H277" s="2">
        <v>14.49</v>
      </c>
      <c r="I277" s="2">
        <v>70.14</v>
      </c>
      <c r="J277" s="49"/>
      <c r="K277" s="2">
        <v>6.8999999999999995</v>
      </c>
      <c r="L277" s="2">
        <v>9.8999999999999986</v>
      </c>
      <c r="M277" s="2">
        <v>26.099999999999998</v>
      </c>
      <c r="N277" s="2">
        <v>0.33</v>
      </c>
      <c r="O277" s="2">
        <v>0</v>
      </c>
      <c r="P277" s="2">
        <v>0.03</v>
      </c>
      <c r="Q277" s="2">
        <v>0</v>
      </c>
      <c r="R277" s="2">
        <v>0</v>
      </c>
    </row>
    <row r="278" spans="1:18" ht="18" customHeight="1" x14ac:dyDescent="0.25">
      <c r="A278" s="1">
        <v>386</v>
      </c>
      <c r="B278" s="1" t="s">
        <v>91</v>
      </c>
      <c r="C278" s="27" t="s">
        <v>93</v>
      </c>
      <c r="D278" s="1">
        <v>100</v>
      </c>
      <c r="E278" s="2">
        <v>11.33</v>
      </c>
      <c r="F278" s="2">
        <v>2.7</v>
      </c>
      <c r="G278" s="2">
        <v>2.5</v>
      </c>
      <c r="H278" s="2">
        <v>10.8</v>
      </c>
      <c r="I278" s="2">
        <v>79</v>
      </c>
      <c r="J278" s="49"/>
      <c r="K278" s="2">
        <v>121</v>
      </c>
      <c r="L278" s="2">
        <v>15</v>
      </c>
      <c r="M278" s="2">
        <v>94</v>
      </c>
      <c r="N278" s="2">
        <v>0.1</v>
      </c>
      <c r="O278" s="2">
        <v>20</v>
      </c>
      <c r="P278" s="2">
        <v>4.4999999999999998E-2</v>
      </c>
      <c r="Q278" s="2">
        <v>0.1</v>
      </c>
      <c r="R278" s="2">
        <v>1.35</v>
      </c>
    </row>
    <row r="279" spans="1:18" ht="18" customHeight="1" x14ac:dyDescent="0.25">
      <c r="A279" s="81" t="s">
        <v>11</v>
      </c>
      <c r="B279" s="81"/>
      <c r="C279" s="81"/>
      <c r="D279" s="64">
        <v>1045</v>
      </c>
      <c r="E279" s="65">
        <f t="shared" ref="E279:R279" si="28">SUM(E271:E278)</f>
        <v>98.86</v>
      </c>
      <c r="F279" s="65">
        <f t="shared" si="28"/>
        <v>28.875</v>
      </c>
      <c r="G279" s="65">
        <f t="shared" si="28"/>
        <v>35.339999999999989</v>
      </c>
      <c r="H279" s="65">
        <f t="shared" si="28"/>
        <v>132.22499999999999</v>
      </c>
      <c r="I279" s="65">
        <f t="shared" si="28"/>
        <v>962.48</v>
      </c>
      <c r="J279" s="65">
        <f t="shared" si="28"/>
        <v>0</v>
      </c>
      <c r="K279" s="65">
        <f t="shared" si="28"/>
        <v>327.69000000000005</v>
      </c>
      <c r="L279" s="65">
        <f t="shared" si="28"/>
        <v>169.715</v>
      </c>
      <c r="M279" s="65">
        <f t="shared" si="28"/>
        <v>422.25000000000006</v>
      </c>
      <c r="N279" s="65">
        <f t="shared" si="28"/>
        <v>9.8859999999999992</v>
      </c>
      <c r="O279" s="65">
        <f t="shared" si="28"/>
        <v>59.18</v>
      </c>
      <c r="P279" s="65">
        <f t="shared" si="28"/>
        <v>6.9790000000000001</v>
      </c>
      <c r="Q279" s="65">
        <f t="shared" si="28"/>
        <v>1.1400000000000001</v>
      </c>
      <c r="R279" s="65">
        <f t="shared" si="28"/>
        <v>74.274000000000001</v>
      </c>
    </row>
    <row r="280" spans="1:18" ht="18" customHeight="1" x14ac:dyDescent="0.25">
      <c r="A280" s="85" t="s">
        <v>17</v>
      </c>
      <c r="B280" s="85"/>
      <c r="C280" s="85"/>
      <c r="D280" s="85"/>
      <c r="E280" s="13">
        <f>E267+E279</f>
        <v>176.8</v>
      </c>
      <c r="F280" s="13">
        <f t="shared" ref="F280:R280" si="29">F267+F279</f>
        <v>51.461666666666666</v>
      </c>
      <c r="G280" s="13">
        <f t="shared" si="29"/>
        <v>66.73111111111109</v>
      </c>
      <c r="H280" s="13">
        <f t="shared" si="29"/>
        <v>240.91833333333332</v>
      </c>
      <c r="I280" s="13">
        <f t="shared" si="29"/>
        <v>1708.9</v>
      </c>
      <c r="J280" s="13">
        <f t="shared" si="29"/>
        <v>0</v>
      </c>
      <c r="K280" s="13">
        <f t="shared" si="29"/>
        <v>754.91222222222223</v>
      </c>
      <c r="L280" s="13">
        <f t="shared" si="29"/>
        <v>410.18166666666662</v>
      </c>
      <c r="M280" s="13">
        <f t="shared" si="29"/>
        <v>987.90555555555557</v>
      </c>
      <c r="N280" s="13">
        <f t="shared" si="29"/>
        <v>49.548222222222222</v>
      </c>
      <c r="O280" s="13">
        <f t="shared" si="29"/>
        <v>110.04666666666667</v>
      </c>
      <c r="P280" s="13">
        <f t="shared" si="29"/>
        <v>8.2539999999999996</v>
      </c>
      <c r="Q280" s="13">
        <f t="shared" si="29"/>
        <v>4.83</v>
      </c>
      <c r="R280" s="13">
        <f t="shared" si="29"/>
        <v>82.896222222222221</v>
      </c>
    </row>
    <row r="281" spans="1:18" ht="18" customHeight="1" x14ac:dyDescent="0.25">
      <c r="A281" s="16"/>
      <c r="B281" s="16"/>
      <c r="C281" s="16"/>
      <c r="D281" s="16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ht="18" customHeight="1" x14ac:dyDescent="0.25">
      <c r="A282" s="16"/>
      <c r="B282" s="16"/>
      <c r="C282" s="80" t="s">
        <v>129</v>
      </c>
      <c r="D282" s="16"/>
      <c r="E282" s="18">
        <f>E18+E44+E73+E98+E125+E152+E180+E210+E238+E267</f>
        <v>811.7199999999998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 ht="18" customHeight="1" x14ac:dyDescent="0.25">
      <c r="A283" s="16"/>
      <c r="B283" s="16"/>
      <c r="C283" s="80" t="s">
        <v>130</v>
      </c>
      <c r="D283" s="16"/>
      <c r="E283" s="18">
        <f>E282/10</f>
        <v>81.171999999999983</v>
      </c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 ht="18" customHeight="1" x14ac:dyDescent="0.25">
      <c r="A284" s="16"/>
      <c r="B284" s="16"/>
      <c r="C284" s="80" t="s">
        <v>131</v>
      </c>
      <c r="D284" s="16"/>
      <c r="E284" s="18"/>
      <c r="F284" s="18">
        <f>E30+E56+E83+E110+E136+E164+E192+E222+E250+E279</f>
        <v>1251.4699999999998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</row>
    <row r="285" spans="1:18" ht="18" customHeight="1" x14ac:dyDescent="0.25">
      <c r="A285" s="16"/>
      <c r="B285" s="16"/>
      <c r="C285" s="80" t="s">
        <v>130</v>
      </c>
      <c r="D285" s="16"/>
      <c r="E285" s="18"/>
      <c r="F285" s="18">
        <f>F284/10</f>
        <v>125.14699999999998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:18" ht="18" customHeight="1" x14ac:dyDescent="0.25">
      <c r="A286" s="16"/>
      <c r="B286" s="16"/>
      <c r="C286" s="16"/>
      <c r="D286" s="16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1:18" ht="18" customHeight="1" x14ac:dyDescent="0.25">
      <c r="A287" s="16"/>
      <c r="B287" s="16"/>
      <c r="C287" s="16"/>
      <c r="D287" s="1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1:18" ht="18" customHeight="1" x14ac:dyDescent="0.25">
      <c r="A288" s="16"/>
      <c r="B288" s="16"/>
      <c r="C288" s="20"/>
      <c r="D288" s="54"/>
      <c r="E288" s="54"/>
      <c r="F288" s="29"/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:18" ht="18" customHeight="1" x14ac:dyDescent="0.25">
      <c r="A289" s="16"/>
      <c r="B289" s="16"/>
      <c r="C289" s="20" t="s">
        <v>99</v>
      </c>
      <c r="D289" s="54"/>
      <c r="E289" s="54"/>
      <c r="F289" s="55" t="s">
        <v>101</v>
      </c>
      <c r="G289" s="7" t="s">
        <v>102</v>
      </c>
      <c r="H289" s="7" t="s">
        <v>103</v>
      </c>
      <c r="I289" s="7" t="s">
        <v>104</v>
      </c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:18" ht="18" customHeight="1" x14ac:dyDescent="0.25">
      <c r="A290" s="16"/>
      <c r="B290" s="16"/>
      <c r="C290" t="s">
        <v>100</v>
      </c>
      <c r="F290" s="7">
        <v>65.338639999999998</v>
      </c>
      <c r="G290" s="7">
        <v>55.319000000000003</v>
      </c>
      <c r="H290" s="7">
        <v>232.7953</v>
      </c>
      <c r="I290" s="7">
        <v>1646.7225000000001</v>
      </c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1:18" ht="18" customHeight="1" x14ac:dyDescent="0.25">
      <c r="A291" s="16"/>
      <c r="B291" s="16"/>
      <c r="C291" s="16"/>
      <c r="D291" s="16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 ht="18" customHeight="1" x14ac:dyDescent="0.25">
      <c r="A292" s="16"/>
      <c r="B292" s="16"/>
      <c r="J292" s="20"/>
      <c r="K292" s="19"/>
      <c r="L292" s="19"/>
      <c r="M292" s="19"/>
      <c r="N292" s="19"/>
      <c r="O292" s="19"/>
      <c r="P292" s="19"/>
      <c r="Q292" s="19"/>
      <c r="R292" s="19"/>
    </row>
    <row r="293" spans="1:18" ht="18" customHeight="1" x14ac:dyDescent="0.25">
      <c r="A293" s="16"/>
      <c r="B293" s="16"/>
      <c r="J293" s="20"/>
      <c r="K293" s="19"/>
      <c r="L293" s="19"/>
      <c r="M293" s="19"/>
      <c r="N293" s="19"/>
      <c r="O293" s="19"/>
      <c r="P293" s="19"/>
      <c r="Q293" s="19"/>
      <c r="R293" s="19"/>
    </row>
    <row r="294" spans="1:18" ht="18" customHeight="1" x14ac:dyDescent="0.25">
      <c r="A294" s="16"/>
      <c r="B294" s="16"/>
      <c r="J294" s="20"/>
      <c r="K294" s="19"/>
      <c r="L294" s="19"/>
      <c r="M294" s="19"/>
      <c r="N294" s="19"/>
      <c r="O294" s="19"/>
      <c r="P294" s="19"/>
      <c r="Q294" s="19"/>
      <c r="R294" s="19"/>
    </row>
    <row r="295" spans="1:18" x14ac:dyDescent="0.25">
      <c r="A295" s="16"/>
      <c r="B295" s="16"/>
      <c r="J295" s="20"/>
      <c r="K295" s="19"/>
      <c r="L295" s="19"/>
      <c r="M295" s="19"/>
      <c r="N295" s="19"/>
      <c r="O295" s="19"/>
      <c r="P295" s="19"/>
      <c r="Q295" s="19"/>
      <c r="R295" s="19"/>
    </row>
    <row r="302" spans="1:18" x14ac:dyDescent="0.25">
      <c r="D302" s="29"/>
      <c r="E302" s="29"/>
    </row>
  </sheetData>
  <mergeCells count="274">
    <mergeCell ref="I261:I262"/>
    <mergeCell ref="O146:R146"/>
    <mergeCell ref="G146:G147"/>
    <mergeCell ref="H146:H147"/>
    <mergeCell ref="I146:I147"/>
    <mergeCell ref="O261:R261"/>
    <mergeCell ref="A210:C210"/>
    <mergeCell ref="A211:R211"/>
    <mergeCell ref="A238:C238"/>
    <mergeCell ref="A230:R230"/>
    <mergeCell ref="A231:R231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O232:R232"/>
    <mergeCell ref="A223:D223"/>
    <mergeCell ref="F261:F262"/>
    <mergeCell ref="G261:G262"/>
    <mergeCell ref="H261:H262"/>
    <mergeCell ref="A127:A128"/>
    <mergeCell ref="B127:B128"/>
    <mergeCell ref="C127:C128"/>
    <mergeCell ref="D127:D128"/>
    <mergeCell ref="E127:E128"/>
    <mergeCell ref="F127:F128"/>
    <mergeCell ref="G127:G128"/>
    <mergeCell ref="O127:R127"/>
    <mergeCell ref="A137:D137"/>
    <mergeCell ref="O240:R240"/>
    <mergeCell ref="O182:R182"/>
    <mergeCell ref="C261:C262"/>
    <mergeCell ref="D261:D262"/>
    <mergeCell ref="E261:E262"/>
    <mergeCell ref="A203:R203"/>
    <mergeCell ref="G204:G205"/>
    <mergeCell ref="G154:G155"/>
    <mergeCell ref="H154:H155"/>
    <mergeCell ref="C182:C183"/>
    <mergeCell ref="A153:R153"/>
    <mergeCell ref="I182:I183"/>
    <mergeCell ref="B182:B183"/>
    <mergeCell ref="G182:G183"/>
    <mergeCell ref="A126:R126"/>
    <mergeCell ref="I68:I69"/>
    <mergeCell ref="O68:R68"/>
    <mergeCell ref="A73:C73"/>
    <mergeCell ref="A172:R172"/>
    <mergeCell ref="A173:R173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O174:R174"/>
    <mergeCell ref="A90:R90"/>
    <mergeCell ref="A118:R118"/>
    <mergeCell ref="A144:R144"/>
    <mergeCell ref="O120:R120"/>
    <mergeCell ref="A119:R119"/>
    <mergeCell ref="B120:B121"/>
    <mergeCell ref="A145:R145"/>
    <mergeCell ref="A146:A147"/>
    <mergeCell ref="E120:E121"/>
    <mergeCell ref="F120:F121"/>
    <mergeCell ref="G120:G121"/>
    <mergeCell ref="H120:H121"/>
    <mergeCell ref="C120:C121"/>
    <mergeCell ref="D120:D121"/>
    <mergeCell ref="A120:A121"/>
    <mergeCell ref="F154:F155"/>
    <mergeCell ref="H204:H205"/>
    <mergeCell ref="C154:C155"/>
    <mergeCell ref="D154:D155"/>
    <mergeCell ref="E154:E155"/>
    <mergeCell ref="A193:D193"/>
    <mergeCell ref="A204:A205"/>
    <mergeCell ref="B204:B205"/>
    <mergeCell ref="A154:A155"/>
    <mergeCell ref="D182:D183"/>
    <mergeCell ref="E182:E183"/>
    <mergeCell ref="A192:C192"/>
    <mergeCell ref="C146:C147"/>
    <mergeCell ref="D146:D147"/>
    <mergeCell ref="E146:E147"/>
    <mergeCell ref="F146:F147"/>
    <mergeCell ref="A136:C136"/>
    <mergeCell ref="I120:I121"/>
    <mergeCell ref="H127:H128"/>
    <mergeCell ref="I127:I128"/>
    <mergeCell ref="F182:F183"/>
    <mergeCell ref="A165:D165"/>
    <mergeCell ref="A182:A183"/>
    <mergeCell ref="A164:C164"/>
    <mergeCell ref="F269:F270"/>
    <mergeCell ref="G269:G270"/>
    <mergeCell ref="H269:H270"/>
    <mergeCell ref="I269:I270"/>
    <mergeCell ref="C240:C241"/>
    <mergeCell ref="D240:D241"/>
    <mergeCell ref="E240:E241"/>
    <mergeCell ref="F240:F241"/>
    <mergeCell ref="G240:G241"/>
    <mergeCell ref="H240:H241"/>
    <mergeCell ref="I240:I241"/>
    <mergeCell ref="A251:D251"/>
    <mergeCell ref="A267:C267"/>
    <mergeCell ref="A259:R259"/>
    <mergeCell ref="A260:R260"/>
    <mergeCell ref="A261:A262"/>
    <mergeCell ref="B261:B262"/>
    <mergeCell ref="A280:D280"/>
    <mergeCell ref="A268:R268"/>
    <mergeCell ref="C212:C213"/>
    <mergeCell ref="D212:D213"/>
    <mergeCell ref="E212:E213"/>
    <mergeCell ref="F212:F213"/>
    <mergeCell ref="G212:G213"/>
    <mergeCell ref="H212:H213"/>
    <mergeCell ref="I212:I213"/>
    <mergeCell ref="O212:R212"/>
    <mergeCell ref="A222:C222"/>
    <mergeCell ref="A212:A213"/>
    <mergeCell ref="B212:B213"/>
    <mergeCell ref="A250:C250"/>
    <mergeCell ref="A279:C279"/>
    <mergeCell ref="A239:R239"/>
    <mergeCell ref="A240:A241"/>
    <mergeCell ref="B240:B241"/>
    <mergeCell ref="O269:R269"/>
    <mergeCell ref="A269:A270"/>
    <mergeCell ref="B269:B270"/>
    <mergeCell ref="C269:C270"/>
    <mergeCell ref="D269:D270"/>
    <mergeCell ref="E269:E270"/>
    <mergeCell ref="A100:A101"/>
    <mergeCell ref="A92:A93"/>
    <mergeCell ref="B92:B93"/>
    <mergeCell ref="C92:C93"/>
    <mergeCell ref="A91:R91"/>
    <mergeCell ref="A98:C98"/>
    <mergeCell ref="A75:A76"/>
    <mergeCell ref="B75:B76"/>
    <mergeCell ref="C75:C76"/>
    <mergeCell ref="D75:D76"/>
    <mergeCell ref="A1:C1"/>
    <mergeCell ref="A2:C2"/>
    <mergeCell ref="A4:C4"/>
    <mergeCell ref="A5:C5"/>
    <mergeCell ref="D5:F5"/>
    <mergeCell ref="D2:I2"/>
    <mergeCell ref="D1:R1"/>
    <mergeCell ref="K2:R2"/>
    <mergeCell ref="A30:C30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8:R8"/>
    <mergeCell ref="O100:R100"/>
    <mergeCell ref="O92:R92"/>
    <mergeCell ref="E92:E93"/>
    <mergeCell ref="H75:H76"/>
    <mergeCell ref="I75:I76"/>
    <mergeCell ref="F92:F93"/>
    <mergeCell ref="G92:G93"/>
    <mergeCell ref="D92:D93"/>
    <mergeCell ref="E11:E12"/>
    <mergeCell ref="D20:D21"/>
    <mergeCell ref="E20:E21"/>
    <mergeCell ref="F20:F21"/>
    <mergeCell ref="G20:G21"/>
    <mergeCell ref="A19:R19"/>
    <mergeCell ref="B20:B21"/>
    <mergeCell ref="C20:C21"/>
    <mergeCell ref="E75:E76"/>
    <mergeCell ref="F75:F76"/>
    <mergeCell ref="O75:R75"/>
    <mergeCell ref="A20:A21"/>
    <mergeCell ref="H20:H21"/>
    <mergeCell ref="I20:I21"/>
    <mergeCell ref="C11:C12"/>
    <mergeCell ref="D11:D12"/>
    <mergeCell ref="A35:R35"/>
    <mergeCell ref="A36:R36"/>
    <mergeCell ref="A111:D111"/>
    <mergeCell ref="A37:A38"/>
    <mergeCell ref="B37:B38"/>
    <mergeCell ref="A56:C56"/>
    <mergeCell ref="H37:H38"/>
    <mergeCell ref="O37:R37"/>
    <mergeCell ref="A74:R74"/>
    <mergeCell ref="A66:R66"/>
    <mergeCell ref="A67:R67"/>
    <mergeCell ref="A68:A69"/>
    <mergeCell ref="B68:B69"/>
    <mergeCell ref="C68:C69"/>
    <mergeCell ref="D68:D69"/>
    <mergeCell ref="E68:E69"/>
    <mergeCell ref="F68:F69"/>
    <mergeCell ref="G68:G69"/>
    <mergeCell ref="H68:H69"/>
    <mergeCell ref="A83:C83"/>
    <mergeCell ref="G75:G76"/>
    <mergeCell ref="A84:D84"/>
    <mergeCell ref="C100:C101"/>
    <mergeCell ref="A57:D57"/>
    <mergeCell ref="H182:H183"/>
    <mergeCell ref="I154:I155"/>
    <mergeCell ref="O154:R154"/>
    <mergeCell ref="A180:C180"/>
    <mergeCell ref="B154:B155"/>
    <mergeCell ref="A202:R202"/>
    <mergeCell ref="I204:I205"/>
    <mergeCell ref="O204:R204"/>
    <mergeCell ref="C204:C205"/>
    <mergeCell ref="D204:D205"/>
    <mergeCell ref="E204:E205"/>
    <mergeCell ref="A181:R181"/>
    <mergeCell ref="A110:C110"/>
    <mergeCell ref="D100:D101"/>
    <mergeCell ref="B100:B101"/>
    <mergeCell ref="G100:G101"/>
    <mergeCell ref="H100:H101"/>
    <mergeCell ref="I100:I101"/>
    <mergeCell ref="E100:E101"/>
    <mergeCell ref="F100:F101"/>
    <mergeCell ref="A99:R99"/>
    <mergeCell ref="I92:I93"/>
    <mergeCell ref="H92:H93"/>
    <mergeCell ref="A125:C125"/>
    <mergeCell ref="A152:C152"/>
    <mergeCell ref="B146:B147"/>
    <mergeCell ref="F204:F205"/>
    <mergeCell ref="A31:D31"/>
    <mergeCell ref="A44:C44"/>
    <mergeCell ref="I37:I38"/>
    <mergeCell ref="A45:R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O46:R46"/>
    <mergeCell ref="C37:C38"/>
    <mergeCell ref="D37:D38"/>
    <mergeCell ref="E37:E38"/>
    <mergeCell ref="F37:F38"/>
    <mergeCell ref="G37:G38"/>
    <mergeCell ref="A34:R34"/>
  </mergeCells>
  <pageMargins left="0.25" right="0.25" top="0.75" bottom="0.75" header="0.3" footer="0.3"/>
  <pageSetup paperSize="9" scale="77" orientation="landscape" verticalDpi="4294967293" r:id="rId1"/>
  <rowBreaks count="9" manualBreakCount="9">
    <brk id="33" max="17" man="1"/>
    <brk id="62" max="17" man="1"/>
    <brk id="87" max="16383" man="1"/>
    <brk id="115" max="16383" man="1"/>
    <brk id="141" max="16383" man="1"/>
    <brk id="169" max="16383" man="1"/>
    <brk id="199" max="16383" man="1"/>
    <brk id="227" max="16383" man="1"/>
    <brk id="25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2023-08-24T07:20:23Z</cp:lastPrinted>
  <dcterms:created xsi:type="dcterms:W3CDTF">2020-08-17T17:24:41Z</dcterms:created>
  <dcterms:modified xsi:type="dcterms:W3CDTF">2023-11-08T03:19:07Z</dcterms:modified>
</cp:coreProperties>
</file>