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5600" windowHeight="111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Лист1!$A$1:$R$357</definedName>
  </definedNames>
  <calcPr calcId="124519"/>
</workbook>
</file>

<file path=xl/calcChain.xml><?xml version="1.0" encoding="utf-8"?>
<calcChain xmlns="http://schemas.openxmlformats.org/spreadsheetml/2006/main">
  <c r="E271" i="1"/>
  <c r="E44" l="1"/>
  <c r="E140"/>
  <c r="E299"/>
  <c r="D283" l="1"/>
  <c r="E31" l="1"/>
  <c r="J31"/>
  <c r="O334" l="1"/>
  <c r="O340" s="1"/>
  <c r="N334"/>
  <c r="M334"/>
  <c r="M340" s="1"/>
  <c r="L334"/>
  <c r="K334"/>
  <c r="I334"/>
  <c r="H334"/>
  <c r="G334"/>
  <c r="F334"/>
  <c r="R333"/>
  <c r="R340" s="1"/>
  <c r="N333"/>
  <c r="L333"/>
  <c r="K333"/>
  <c r="I333"/>
  <c r="I340" s="1"/>
  <c r="H333"/>
  <c r="G333"/>
  <c r="F333"/>
  <c r="E340"/>
  <c r="J340"/>
  <c r="P340"/>
  <c r="Q340"/>
  <c r="Q267"/>
  <c r="P267"/>
  <c r="N267"/>
  <c r="M267"/>
  <c r="L267"/>
  <c r="K267"/>
  <c r="I267"/>
  <c r="H267"/>
  <c r="G267"/>
  <c r="F267"/>
  <c r="R245"/>
  <c r="R252" s="1"/>
  <c r="N245"/>
  <c r="N252" s="1"/>
  <c r="L245"/>
  <c r="L252" s="1"/>
  <c r="K245"/>
  <c r="K252" s="1"/>
  <c r="I245"/>
  <c r="I252" s="1"/>
  <c r="H245"/>
  <c r="H252" s="1"/>
  <c r="G245"/>
  <c r="G252" s="1"/>
  <c r="F245"/>
  <c r="F252" s="1"/>
  <c r="R235"/>
  <c r="P235"/>
  <c r="O235"/>
  <c r="N235"/>
  <c r="M235"/>
  <c r="L235"/>
  <c r="K235"/>
  <c r="I235"/>
  <c r="H235"/>
  <c r="G235"/>
  <c r="F235"/>
  <c r="E311"/>
  <c r="F311"/>
  <c r="G311"/>
  <c r="H311"/>
  <c r="I311"/>
  <c r="J311"/>
  <c r="K311"/>
  <c r="L311"/>
  <c r="M311"/>
  <c r="N311"/>
  <c r="O311"/>
  <c r="P311"/>
  <c r="Q311"/>
  <c r="R311"/>
  <c r="E283"/>
  <c r="F283"/>
  <c r="G283"/>
  <c r="H283"/>
  <c r="I283"/>
  <c r="J283"/>
  <c r="K283"/>
  <c r="L283"/>
  <c r="M283"/>
  <c r="N283"/>
  <c r="O283"/>
  <c r="P283"/>
  <c r="Q283"/>
  <c r="R283"/>
  <c r="E252"/>
  <c r="J252"/>
  <c r="M252"/>
  <c r="O252"/>
  <c r="P252"/>
  <c r="Q252"/>
  <c r="E222"/>
  <c r="J222"/>
  <c r="R216"/>
  <c r="Q216"/>
  <c r="Q222" s="1"/>
  <c r="P216"/>
  <c r="N216"/>
  <c r="M216"/>
  <c r="L216"/>
  <c r="K216"/>
  <c r="I216"/>
  <c r="H216"/>
  <c r="G216"/>
  <c r="F216"/>
  <c r="R207"/>
  <c r="P207"/>
  <c r="O207"/>
  <c r="N207"/>
  <c r="M207"/>
  <c r="L207"/>
  <c r="K207"/>
  <c r="I207"/>
  <c r="H207"/>
  <c r="G207"/>
  <c r="F207"/>
  <c r="J195"/>
  <c r="O195"/>
  <c r="Q195"/>
  <c r="R190"/>
  <c r="P190"/>
  <c r="N190"/>
  <c r="K190"/>
  <c r="I190"/>
  <c r="H190"/>
  <c r="G190"/>
  <c r="F190"/>
  <c r="R188"/>
  <c r="N188"/>
  <c r="R189"/>
  <c r="P189"/>
  <c r="N189"/>
  <c r="K189"/>
  <c r="I189"/>
  <c r="H189"/>
  <c r="G189"/>
  <c r="F189"/>
  <c r="P188"/>
  <c r="M188"/>
  <c r="M195" s="1"/>
  <c r="L188"/>
  <c r="L195" s="1"/>
  <c r="K188"/>
  <c r="I188"/>
  <c r="H188"/>
  <c r="G188"/>
  <c r="F188"/>
  <c r="E195"/>
  <c r="P164"/>
  <c r="P167" s="1"/>
  <c r="N164"/>
  <c r="N167" s="1"/>
  <c r="M164"/>
  <c r="M167" s="1"/>
  <c r="L164"/>
  <c r="L167" s="1"/>
  <c r="K164"/>
  <c r="K167" s="1"/>
  <c r="I164"/>
  <c r="I167" s="1"/>
  <c r="H163"/>
  <c r="H167" s="1"/>
  <c r="G163"/>
  <c r="G167" s="1"/>
  <c r="F163"/>
  <c r="F167" s="1"/>
  <c r="E167"/>
  <c r="J167"/>
  <c r="O167"/>
  <c r="Q167"/>
  <c r="R167"/>
  <c r="D167"/>
  <c r="F156"/>
  <c r="G156"/>
  <c r="H156"/>
  <c r="I156"/>
  <c r="J156"/>
  <c r="K156"/>
  <c r="L156"/>
  <c r="M156"/>
  <c r="N156"/>
  <c r="O156"/>
  <c r="P156"/>
  <c r="Q156"/>
  <c r="R156"/>
  <c r="E156"/>
  <c r="F140"/>
  <c r="G140"/>
  <c r="H140"/>
  <c r="I140"/>
  <c r="J140"/>
  <c r="K140"/>
  <c r="L140"/>
  <c r="M140"/>
  <c r="N140"/>
  <c r="O140"/>
  <c r="P140"/>
  <c r="Q140"/>
  <c r="R140"/>
  <c r="E128"/>
  <c r="K340" l="1"/>
  <c r="G340"/>
  <c r="H340"/>
  <c r="F195"/>
  <c r="N340"/>
  <c r="I195"/>
  <c r="O222"/>
  <c r="N195"/>
  <c r="F222"/>
  <c r="L222"/>
  <c r="M222"/>
  <c r="K195"/>
  <c r="K222"/>
  <c r="R195"/>
  <c r="I222"/>
  <c r="H195"/>
  <c r="H222"/>
  <c r="R222"/>
  <c r="G195"/>
  <c r="G222"/>
  <c r="P222"/>
  <c r="P195"/>
  <c r="N222"/>
  <c r="F340"/>
  <c r="L340"/>
  <c r="R105"/>
  <c r="R111" s="1"/>
  <c r="Q105"/>
  <c r="Q111" s="1"/>
  <c r="P105"/>
  <c r="P111" s="1"/>
  <c r="O105"/>
  <c r="O111" s="1"/>
  <c r="N105"/>
  <c r="N111" s="1"/>
  <c r="M105"/>
  <c r="M111" s="1"/>
  <c r="L105"/>
  <c r="L111" s="1"/>
  <c r="K105"/>
  <c r="K111" s="1"/>
  <c r="I105"/>
  <c r="I111" s="1"/>
  <c r="H105"/>
  <c r="H111" s="1"/>
  <c r="G105"/>
  <c r="G111" s="1"/>
  <c r="F105"/>
  <c r="F111" s="1"/>
  <c r="E111"/>
  <c r="J111"/>
  <c r="E85"/>
  <c r="J85"/>
  <c r="O85"/>
  <c r="R85"/>
  <c r="F74"/>
  <c r="G74"/>
  <c r="H74"/>
  <c r="I74"/>
  <c r="J74"/>
  <c r="K74"/>
  <c r="L74"/>
  <c r="M74"/>
  <c r="N74"/>
  <c r="O74"/>
  <c r="P74"/>
  <c r="Q74"/>
  <c r="R74"/>
  <c r="E74"/>
  <c r="E56"/>
  <c r="J56"/>
  <c r="D56"/>
  <c r="D31"/>
  <c r="E19"/>
  <c r="R96" l="1"/>
  <c r="O96"/>
  <c r="N96"/>
  <c r="M96"/>
  <c r="L96"/>
  <c r="K96"/>
  <c r="I96"/>
  <c r="H96"/>
  <c r="G96"/>
  <c r="F96"/>
  <c r="Q81"/>
  <c r="Q85" s="1"/>
  <c r="P81"/>
  <c r="P85" s="1"/>
  <c r="N81"/>
  <c r="M81"/>
  <c r="M85" s="1"/>
  <c r="L81"/>
  <c r="L85" s="1"/>
  <c r="K81"/>
  <c r="K85" s="1"/>
  <c r="I81"/>
  <c r="H81"/>
  <c r="H85" s="1"/>
  <c r="G81"/>
  <c r="F81"/>
  <c r="N85"/>
  <c r="R51"/>
  <c r="R56" s="1"/>
  <c r="Q51"/>
  <c r="Q56" s="1"/>
  <c r="P51"/>
  <c r="P56" s="1"/>
  <c r="O51"/>
  <c r="O56" s="1"/>
  <c r="N51"/>
  <c r="N56" s="1"/>
  <c r="M51"/>
  <c r="M56" s="1"/>
  <c r="L51"/>
  <c r="L56" s="1"/>
  <c r="K51"/>
  <c r="K56" s="1"/>
  <c r="I51"/>
  <c r="I56" s="1"/>
  <c r="H51"/>
  <c r="H56" s="1"/>
  <c r="G51"/>
  <c r="G56" s="1"/>
  <c r="F51"/>
  <c r="F56" s="1"/>
  <c r="G85" l="1"/>
  <c r="I85"/>
  <c r="F85"/>
  <c r="R40"/>
  <c r="P40"/>
  <c r="O40"/>
  <c r="N40"/>
  <c r="M40"/>
  <c r="L40"/>
  <c r="K40"/>
  <c r="I40"/>
  <c r="H40"/>
  <c r="G40"/>
  <c r="F40"/>
  <c r="P29"/>
  <c r="N29"/>
  <c r="M29"/>
  <c r="L29"/>
  <c r="K29"/>
  <c r="I29"/>
  <c r="H29"/>
  <c r="G29"/>
  <c r="F29"/>
  <c r="P28"/>
  <c r="N28"/>
  <c r="M28"/>
  <c r="L28"/>
  <c r="K28"/>
  <c r="I28"/>
  <c r="H28"/>
  <c r="G28"/>
  <c r="F28"/>
  <c r="Q26"/>
  <c r="P26"/>
  <c r="O26"/>
  <c r="O31" s="1"/>
  <c r="N26"/>
  <c r="M26"/>
  <c r="L26"/>
  <c r="K26"/>
  <c r="I26"/>
  <c r="H26"/>
  <c r="G26"/>
  <c r="F26"/>
  <c r="L31" l="1"/>
  <c r="R24"/>
  <c r="R31" s="1"/>
  <c r="Q24"/>
  <c r="Q31" s="1"/>
  <c r="P24"/>
  <c r="P31" s="1"/>
  <c r="N24"/>
  <c r="N31" s="1"/>
  <c r="M24"/>
  <c r="M31" s="1"/>
  <c r="K24"/>
  <c r="K31" s="1"/>
  <c r="I24"/>
  <c r="I31" s="1"/>
  <c r="H24"/>
  <c r="H31" s="1"/>
  <c r="G24"/>
  <c r="G31" s="1"/>
  <c r="F24"/>
  <c r="F31" s="1"/>
  <c r="G14"/>
  <c r="R14"/>
  <c r="Q14"/>
  <c r="P14"/>
  <c r="N14"/>
  <c r="M14"/>
  <c r="L14"/>
  <c r="K14"/>
  <c r="I14"/>
  <c r="H14"/>
  <c r="F14"/>
  <c r="R13"/>
  <c r="Q13"/>
  <c r="P13"/>
  <c r="O13"/>
  <c r="N13"/>
  <c r="M13"/>
  <c r="L13"/>
  <c r="K13"/>
  <c r="I13"/>
  <c r="H13"/>
  <c r="G13"/>
  <c r="F13"/>
  <c r="F271" l="1"/>
  <c r="G271"/>
  <c r="H271"/>
  <c r="I271"/>
  <c r="J271"/>
  <c r="K271"/>
  <c r="L271"/>
  <c r="M271"/>
  <c r="N271"/>
  <c r="O271"/>
  <c r="P271"/>
  <c r="Q271"/>
  <c r="R271"/>
  <c r="F211" l="1"/>
  <c r="G211"/>
  <c r="H211"/>
  <c r="I211"/>
  <c r="J211"/>
  <c r="K211"/>
  <c r="L211"/>
  <c r="M211"/>
  <c r="N211"/>
  <c r="O211"/>
  <c r="P211"/>
  <c r="Q211"/>
  <c r="R211"/>
  <c r="E211"/>
  <c r="J86" l="1"/>
  <c r="R44"/>
  <c r="Q44"/>
  <c r="P44"/>
  <c r="O44"/>
  <c r="J223"/>
  <c r="J253"/>
  <c r="J312"/>
  <c r="J341"/>
  <c r="R299"/>
  <c r="Q299"/>
  <c r="P299"/>
  <c r="O299"/>
  <c r="N299"/>
  <c r="M299"/>
  <c r="L299"/>
  <c r="K299"/>
  <c r="I299"/>
  <c r="H299"/>
  <c r="G299"/>
  <c r="F299"/>
  <c r="R328"/>
  <c r="Q328"/>
  <c r="P328"/>
  <c r="O328"/>
  <c r="N328"/>
  <c r="M328"/>
  <c r="L328"/>
  <c r="K328"/>
  <c r="I328"/>
  <c r="H328"/>
  <c r="G328"/>
  <c r="F328"/>
  <c r="E328"/>
  <c r="R240"/>
  <c r="Q240"/>
  <c r="P240"/>
  <c r="O240"/>
  <c r="N240"/>
  <c r="M240"/>
  <c r="L240"/>
  <c r="K240"/>
  <c r="I240"/>
  <c r="H240"/>
  <c r="G240"/>
  <c r="F240"/>
  <c r="E240"/>
  <c r="D211"/>
  <c r="O86"/>
  <c r="R341" l="1"/>
  <c r="Q341"/>
  <c r="P341"/>
  <c r="O341"/>
  <c r="N341"/>
  <c r="M341"/>
  <c r="L341"/>
  <c r="K341"/>
  <c r="R312" l="1"/>
  <c r="P312"/>
  <c r="Q312"/>
  <c r="O312"/>
  <c r="N312"/>
  <c r="M312"/>
  <c r="L312"/>
  <c r="K312"/>
  <c r="R223" l="1"/>
  <c r="Q223"/>
  <c r="P223"/>
  <c r="O223"/>
  <c r="N223"/>
  <c r="M223"/>
  <c r="L223"/>
  <c r="K223"/>
  <c r="E86" l="1"/>
  <c r="Q284" l="1"/>
  <c r="P284"/>
  <c r="M284"/>
  <c r="L284"/>
  <c r="K284"/>
  <c r="R284"/>
  <c r="O284"/>
  <c r="R253"/>
  <c r="Q253"/>
  <c r="P253"/>
  <c r="O253"/>
  <c r="N253"/>
  <c r="M253"/>
  <c r="L253"/>
  <c r="K253"/>
  <c r="R183"/>
  <c r="Q183"/>
  <c r="P183"/>
  <c r="O183"/>
  <c r="N183"/>
  <c r="N196" s="1"/>
  <c r="M183"/>
  <c r="L183"/>
  <c r="K183"/>
  <c r="K196" s="1"/>
  <c r="Q168"/>
  <c r="R128"/>
  <c r="Q128"/>
  <c r="P128"/>
  <c r="O128"/>
  <c r="N128"/>
  <c r="M128"/>
  <c r="L128"/>
  <c r="K128"/>
  <c r="R100"/>
  <c r="Q100"/>
  <c r="P100"/>
  <c r="O100"/>
  <c r="N100"/>
  <c r="M100"/>
  <c r="L100"/>
  <c r="K100"/>
  <c r="R86"/>
  <c r="Q86"/>
  <c r="P86"/>
  <c r="N86"/>
  <c r="M86"/>
  <c r="L86"/>
  <c r="K86"/>
  <c r="R19"/>
  <c r="Q19"/>
  <c r="P19"/>
  <c r="O19"/>
  <c r="O32" s="1"/>
  <c r="N19"/>
  <c r="N32" s="1"/>
  <c r="M19"/>
  <c r="M32" s="1"/>
  <c r="L19"/>
  <c r="K19"/>
  <c r="K32" s="1"/>
  <c r="Q196" l="1"/>
  <c r="O196"/>
  <c r="P168"/>
  <c r="R112"/>
  <c r="L196"/>
  <c r="K141"/>
  <c r="M141"/>
  <c r="Q141"/>
  <c r="P141"/>
  <c r="L141"/>
  <c r="R168"/>
  <c r="R141"/>
  <c r="M196"/>
  <c r="R196"/>
  <c r="O168"/>
  <c r="N168"/>
  <c r="M168"/>
  <c r="L168"/>
  <c r="Q112"/>
  <c r="P112"/>
  <c r="N112"/>
  <c r="L112"/>
  <c r="K112"/>
  <c r="M112"/>
  <c r="O112"/>
  <c r="L32"/>
  <c r="P196"/>
  <c r="O141"/>
  <c r="P32"/>
  <c r="N141"/>
  <c r="K168"/>
  <c r="R32"/>
  <c r="N284"/>
  <c r="Q32"/>
  <c r="K57"/>
  <c r="M57"/>
  <c r="O57"/>
  <c r="Q57"/>
  <c r="L57"/>
  <c r="N57"/>
  <c r="P57"/>
  <c r="R57"/>
  <c r="I341"/>
  <c r="H341"/>
  <c r="G341"/>
  <c r="F341"/>
  <c r="E341"/>
  <c r="I312" l="1"/>
  <c r="H312"/>
  <c r="G312"/>
  <c r="F312"/>
  <c r="E312"/>
  <c r="I284" l="1"/>
  <c r="H284"/>
  <c r="G284"/>
  <c r="F284"/>
  <c r="E284"/>
  <c r="I253" l="1"/>
  <c r="H253"/>
  <c r="G253"/>
  <c r="F253"/>
  <c r="E253"/>
  <c r="I223" l="1"/>
  <c r="H223"/>
  <c r="G223"/>
  <c r="F223"/>
  <c r="E223"/>
  <c r="I183" l="1"/>
  <c r="I196" s="1"/>
  <c r="H183"/>
  <c r="H196" s="1"/>
  <c r="G183"/>
  <c r="G196" s="1"/>
  <c r="F183"/>
  <c r="F196" s="1"/>
  <c r="E183"/>
  <c r="E196" l="1"/>
  <c r="I168" l="1"/>
  <c r="H168"/>
  <c r="G168"/>
  <c r="F168"/>
  <c r="E168"/>
  <c r="I128" l="1"/>
  <c r="I141" s="1"/>
  <c r="H128"/>
  <c r="H141" s="1"/>
  <c r="G128"/>
  <c r="G141" s="1"/>
  <c r="F128"/>
  <c r="F141" s="1"/>
  <c r="E141"/>
  <c r="I100" l="1"/>
  <c r="I112" s="1"/>
  <c r="H100"/>
  <c r="H112" s="1"/>
  <c r="G100"/>
  <c r="G112" s="1"/>
  <c r="F100"/>
  <c r="F112" s="1"/>
  <c r="E100"/>
  <c r="E112" l="1"/>
  <c r="I86"/>
  <c r="H86"/>
  <c r="G86"/>
  <c r="F86"/>
  <c r="I19" l="1"/>
  <c r="I32" s="1"/>
  <c r="H19"/>
  <c r="G19"/>
  <c r="F19"/>
  <c r="I57" l="1"/>
  <c r="I352" s="1"/>
  <c r="H57"/>
  <c r="G57"/>
  <c r="E57"/>
  <c r="F57"/>
  <c r="H32" l="1"/>
  <c r="H352" s="1"/>
  <c r="G32"/>
  <c r="G352" s="1"/>
  <c r="F32"/>
  <c r="F352" s="1"/>
  <c r="E32" l="1"/>
</calcChain>
</file>

<file path=xl/sharedStrings.xml><?xml version="1.0" encoding="utf-8"?>
<sst xmlns="http://schemas.openxmlformats.org/spreadsheetml/2006/main" count="847" uniqueCount="134">
  <si>
    <t>№</t>
  </si>
  <si>
    <t>Выход</t>
  </si>
  <si>
    <t>Стоимость</t>
  </si>
  <si>
    <t>Калории</t>
  </si>
  <si>
    <t>ЗАВТРАК</t>
  </si>
  <si>
    <t>МЕНЮ</t>
  </si>
  <si>
    <t>для школьных столовых</t>
  </si>
  <si>
    <t>1.</t>
  </si>
  <si>
    <t>2.</t>
  </si>
  <si>
    <t>3.</t>
  </si>
  <si>
    <t>Какао с молоком</t>
  </si>
  <si>
    <t>Всего</t>
  </si>
  <si>
    <t>ОБЕД</t>
  </si>
  <si>
    <t>4.</t>
  </si>
  <si>
    <t>5.</t>
  </si>
  <si>
    <t>6.</t>
  </si>
  <si>
    <t>Чай с сахаром</t>
  </si>
  <si>
    <t>ИТОГО:</t>
  </si>
  <si>
    <t>Кофейный напиток с молоком</t>
  </si>
  <si>
    <t>Щи из свежей капусты с картофелем со сметаной.</t>
  </si>
  <si>
    <t xml:space="preserve"> Суп картофельный с мясными фрикадельками.</t>
  </si>
  <si>
    <t>Компот из кураги</t>
  </si>
  <si>
    <t xml:space="preserve"> Суп картофельный с клецками</t>
  </si>
  <si>
    <t>Шницель из говядины</t>
  </si>
  <si>
    <t xml:space="preserve"> Капуста тушеная</t>
  </si>
  <si>
    <t>Биточки из говядины</t>
  </si>
  <si>
    <t>Чай с сахаром с лимоном</t>
  </si>
  <si>
    <t>Печенье</t>
  </si>
  <si>
    <t xml:space="preserve">                                    Директор      ООО "Общепит-Н"  </t>
  </si>
  <si>
    <t>№ рец.</t>
  </si>
  <si>
    <t>Са</t>
  </si>
  <si>
    <t>Mg</t>
  </si>
  <si>
    <t>P</t>
  </si>
  <si>
    <t>Fe</t>
  </si>
  <si>
    <t>А</t>
  </si>
  <si>
    <t>В</t>
  </si>
  <si>
    <t>РР</t>
  </si>
  <si>
    <t>С</t>
  </si>
  <si>
    <t>Наименование блюд</t>
  </si>
  <si>
    <t>День 1</t>
  </si>
  <si>
    <t xml:space="preserve">          "Согласовано"</t>
  </si>
  <si>
    <t>День 2</t>
  </si>
  <si>
    <t>Омлет натуральный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</si>
  <si>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</si>
  <si>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</si>
  <si>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</si>
  <si>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</si>
  <si>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</si>
  <si>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</si>
  <si>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</si>
  <si>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День 11</t>
  </si>
  <si>
    <t>День 12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</si>
  <si>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                                   /</t>
    </r>
  </si>
  <si>
    <t xml:space="preserve"> Суп картофельный с  рисовой крупой</t>
  </si>
  <si>
    <t>Тефтели из говядины с  соусом</t>
  </si>
  <si>
    <t>Сырники из творога с  молоком сгущенным</t>
  </si>
  <si>
    <t xml:space="preserve">Компот из сухофруктов </t>
  </si>
  <si>
    <t>Суп картофельный с макаронными изделиями ( вермишель )</t>
  </si>
  <si>
    <t xml:space="preserve">Рагу из овощей </t>
  </si>
  <si>
    <t>Котлеты рыбные с маслом сливочным</t>
  </si>
  <si>
    <t>Компот из смеси сухофруктов</t>
  </si>
  <si>
    <t xml:space="preserve"> Каша гречневая рассыпчатая</t>
  </si>
  <si>
    <t>Напиток апельсиновый</t>
  </si>
  <si>
    <t xml:space="preserve">Оладьи из говяжьей печени </t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</si>
  <si>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/Сидельников С.И./</t>
    </r>
  </si>
  <si>
    <t xml:space="preserve">                                                                                                                                                                   "Утверждаю"</t>
  </si>
  <si>
    <t>Рис отварной</t>
  </si>
  <si>
    <t>Батон в/с</t>
  </si>
  <si>
    <t>Напиток  "Витошка"</t>
  </si>
  <si>
    <t>Белки          ( г )</t>
  </si>
  <si>
    <t>Жиры           ( г )</t>
  </si>
  <si>
    <t>Углеводы   ( г )</t>
  </si>
  <si>
    <t xml:space="preserve">   Минеральные вещества  ( мг )</t>
  </si>
  <si>
    <t>Витамины  ( мг )</t>
  </si>
  <si>
    <t xml:space="preserve"> Компот из чернослив</t>
  </si>
  <si>
    <t>Картофель и овощи, тушенные в соусе</t>
  </si>
  <si>
    <t xml:space="preserve"> Рассольник ленинградский</t>
  </si>
  <si>
    <t>А, мкг</t>
  </si>
  <si>
    <t>Хлеб пшеничный 1с.</t>
  </si>
  <si>
    <t>В1</t>
  </si>
  <si>
    <t>хлеб ржаной</t>
  </si>
  <si>
    <t>7.</t>
  </si>
  <si>
    <t>Выход,г</t>
  </si>
  <si>
    <t xml:space="preserve">Хлеб пшеничный </t>
  </si>
  <si>
    <t>Хлеб пшеничный</t>
  </si>
  <si>
    <t>Выход, г</t>
  </si>
  <si>
    <t xml:space="preserve">Компот из смеси сухофруктов </t>
  </si>
  <si>
    <t>День 3</t>
  </si>
  <si>
    <t>Котлеты рубленные из кур, запеченные с соусом сметанным</t>
  </si>
  <si>
    <t xml:space="preserve"> Суп картофельный с бобовыми  (горох)</t>
  </si>
  <si>
    <t>яйцо вареное</t>
  </si>
  <si>
    <t>Овощи натуральные свежие (помидоры)</t>
  </si>
  <si>
    <t>Овощи натуральные свежие (огурцы)</t>
  </si>
  <si>
    <t>Салат из свеклы отварной</t>
  </si>
  <si>
    <t>250/10</t>
  </si>
  <si>
    <t>8.</t>
  </si>
  <si>
    <t>Ряженка</t>
  </si>
  <si>
    <t>Снежок</t>
  </si>
  <si>
    <t xml:space="preserve">Пряники </t>
  </si>
  <si>
    <t>Хлеб ржаной</t>
  </si>
  <si>
    <t>100/50</t>
  </si>
  <si>
    <t>90/30</t>
  </si>
  <si>
    <t xml:space="preserve"> Суп картофельный с бобовыми     (горох) на курином бульоне</t>
  </si>
  <si>
    <t xml:space="preserve">                      "___"____________  2023г</t>
  </si>
  <si>
    <t>130/20</t>
  </si>
  <si>
    <t>Кисель плодово-ягодный</t>
  </si>
  <si>
    <t>Норма</t>
  </si>
  <si>
    <t>Итого</t>
  </si>
  <si>
    <t>45-54</t>
  </si>
  <si>
    <t>46-55,2</t>
  </si>
  <si>
    <t>191,5-229,8</t>
  </si>
  <si>
    <t>1360-1632</t>
  </si>
  <si>
    <t>Макаронные изделия отварные с маслом</t>
  </si>
  <si>
    <t>Каша вязкая молочная из риса и пшена  с маслом сливочным</t>
  </si>
  <si>
    <t>Сыр    (порциями)</t>
  </si>
  <si>
    <t xml:space="preserve"> Каша гороховая отварная с маслом</t>
  </si>
  <si>
    <t xml:space="preserve"> Каша  жидкая молочная из манной крупы с маслом сливочным</t>
  </si>
  <si>
    <t>100/5</t>
  </si>
  <si>
    <t>Каша вязкая молочная  геркулесовая с маслом сливочным</t>
  </si>
  <si>
    <t>250/35</t>
  </si>
  <si>
    <t>Рагу из курицы</t>
  </si>
  <si>
    <t>100/180</t>
  </si>
  <si>
    <t>Каша вязкая молочная из риса с маслом сливочным</t>
  </si>
  <si>
    <t>150/30</t>
  </si>
  <si>
    <t>Борщ из свежей капусты с картофелем  со сметаной .</t>
  </si>
  <si>
    <t>Плов из курицы</t>
  </si>
  <si>
    <t>Каша вязкая молочная ячневая с маслом сливочным</t>
  </si>
  <si>
    <t>294/330</t>
  </si>
  <si>
    <t>Каша  вязкая молочная из  пшенной крупы с маслом сливочным</t>
  </si>
  <si>
    <t>Курица отварная с маслом сливочным</t>
  </si>
  <si>
    <t xml:space="preserve">Фрукт свежий, сезонный </t>
  </si>
  <si>
    <t>"01" апреля 2023г</t>
  </si>
  <si>
    <t>( 12 лет и старше )</t>
  </si>
  <si>
    <t>Директор   школы    МОУ СОШ №2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</si>
</sst>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5" fillId="0" borderId="0" xfId="0" applyFont="1"/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2" fillId="0" borderId="0" xfId="0" applyNumberFormat="1" applyFont="1"/>
    <xf numFmtId="2" fontId="0" fillId="0" borderId="1" xfId="0" applyNumberFormat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2" fillId="2" borderId="1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wrapText="1"/>
    </xf>
    <xf numFmtId="2" fontId="2" fillId="2" borderId="1" xfId="0" applyNumberFormat="1" applyFont="1" applyFill="1" applyBorder="1"/>
    <xf numFmtId="2" fontId="0" fillId="0" borderId="1" xfId="0" applyNumberFormat="1" applyBorder="1"/>
    <xf numFmtId="2" fontId="12" fillId="0" borderId="1" xfId="0" applyNumberFormat="1" applyFont="1" applyBorder="1" applyAlignment="1">
      <alignment horizontal="center"/>
    </xf>
    <xf numFmtId="2" fontId="0" fillId="2" borderId="1" xfId="0" applyNumberFormat="1" applyFill="1" applyBorder="1"/>
    <xf numFmtId="2" fontId="2" fillId="2" borderId="9" xfId="0" applyNumberFormat="1" applyFont="1" applyFill="1" applyBorder="1" applyAlignment="1">
      <alignment horizontal="center" wrapText="1"/>
    </xf>
    <xf numFmtId="164" fontId="2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distributed"/>
    </xf>
    <xf numFmtId="0" fontId="2" fillId="0" borderId="0" xfId="0" applyFont="1" applyAlignment="1">
      <alignment horizontal="left" vertical="distributed"/>
    </xf>
    <xf numFmtId="49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distributed"/>
    </xf>
    <xf numFmtId="0" fontId="3" fillId="0" borderId="0" xfId="0" applyFont="1" applyAlignment="1">
      <alignment horizontal="center" vertical="distributed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distributed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 vertical="distributed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64"/>
  <sheetViews>
    <sheetView tabSelected="1" view="pageBreakPreview" zoomScaleSheetLayoutView="100" workbookViewId="0">
      <selection activeCell="T6" sqref="T6"/>
    </sheetView>
  </sheetViews>
  <sheetFormatPr defaultRowHeight="15"/>
  <cols>
    <col min="1" max="2" width="5" customWidth="1"/>
    <col min="3" max="3" width="38.85546875" customWidth="1"/>
    <col min="4" max="4" width="7.7109375" customWidth="1"/>
    <col min="5" max="5" width="8.85546875" customWidth="1"/>
    <col min="6" max="6" width="9.28515625" customWidth="1"/>
    <col min="7" max="7" width="7.42578125" customWidth="1"/>
    <col min="8" max="9" width="10.28515625" customWidth="1"/>
    <col min="10" max="10" width="0.7109375" hidden="1" customWidth="1"/>
    <col min="11" max="12" width="7" customWidth="1"/>
    <col min="13" max="13" width="7.42578125" customWidth="1"/>
    <col min="14" max="14" width="6.85546875" customWidth="1"/>
    <col min="15" max="15" width="6.5703125" customWidth="1"/>
    <col min="16" max="16" width="6.42578125" customWidth="1"/>
    <col min="17" max="17" width="7.42578125" customWidth="1"/>
    <col min="18" max="18" width="6.85546875" customWidth="1"/>
    <col min="20" max="20" width="15.42578125" customWidth="1"/>
    <col min="34" max="34" width="5.140625" customWidth="1"/>
  </cols>
  <sheetData>
    <row r="1" spans="1:18" ht="20.25" customHeight="1">
      <c r="A1" s="97" t="s">
        <v>40</v>
      </c>
      <c r="B1" s="97"/>
      <c r="C1" s="97"/>
      <c r="D1" s="103" t="s">
        <v>65</v>
      </c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18" ht="15" customHeight="1">
      <c r="A2" s="98" t="s">
        <v>133</v>
      </c>
      <c r="B2" s="98"/>
      <c r="C2" s="98"/>
      <c r="D2" s="102"/>
      <c r="E2" s="102"/>
      <c r="F2" s="102"/>
      <c r="G2" s="102"/>
      <c r="H2" s="102"/>
      <c r="I2" s="102"/>
      <c r="J2" s="11"/>
      <c r="K2" s="104" t="s">
        <v>28</v>
      </c>
      <c r="L2" s="104"/>
      <c r="M2" s="104"/>
      <c r="N2" s="104"/>
      <c r="O2" s="104"/>
      <c r="P2" s="104"/>
      <c r="Q2" s="104"/>
      <c r="R2" s="104"/>
    </row>
    <row r="3" spans="1:18" ht="15" hidden="1" customHeight="1">
      <c r="A3" s="10"/>
      <c r="B3" s="10"/>
      <c r="C3" s="10"/>
      <c r="D3" s="10"/>
      <c r="E3" s="10"/>
      <c r="F3" s="10"/>
      <c r="G3" s="10"/>
      <c r="H3" s="10"/>
      <c r="I3" s="10"/>
      <c r="J3" s="11"/>
      <c r="K3" s="12"/>
      <c r="L3" s="12"/>
      <c r="M3" s="12"/>
      <c r="N3" s="12"/>
      <c r="O3" s="12"/>
      <c r="P3" s="12"/>
      <c r="Q3" s="12"/>
      <c r="R3" s="12"/>
    </row>
    <row r="4" spans="1:18" ht="15" customHeight="1">
      <c r="A4" s="99" t="s">
        <v>52</v>
      </c>
      <c r="B4" s="99"/>
      <c r="C4" s="99"/>
      <c r="D4" s="105" t="s">
        <v>64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pans="1:18" ht="15" customHeight="1">
      <c r="A5" s="100" t="s">
        <v>103</v>
      </c>
      <c r="B5" s="100"/>
      <c r="C5" s="100"/>
      <c r="D5" s="101"/>
      <c r="E5" s="101"/>
      <c r="F5" s="101"/>
      <c r="G5" s="106" t="s">
        <v>131</v>
      </c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</row>
    <row r="6" spans="1:18" ht="18" customHeight="1">
      <c r="A6" s="107" t="s">
        <v>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ht="15" customHeight="1">
      <c r="A7" s="111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</row>
    <row r="8" spans="1:18" ht="15" customHeight="1">
      <c r="A8" s="94" t="s">
        <v>132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</row>
    <row r="9" spans="1:18" ht="18" customHeight="1">
      <c r="A9" s="108" t="s">
        <v>39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10"/>
    </row>
    <row r="10" spans="1:18" ht="18" customHeight="1">
      <c r="A10" s="80" t="s">
        <v>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spans="1:18" ht="18" customHeight="1">
      <c r="A11" s="84" t="s">
        <v>29</v>
      </c>
      <c r="B11" s="83" t="s">
        <v>0</v>
      </c>
      <c r="C11" s="84" t="s">
        <v>38</v>
      </c>
      <c r="D11" s="88" t="s">
        <v>82</v>
      </c>
      <c r="E11" s="83" t="s">
        <v>2</v>
      </c>
      <c r="F11" s="85" t="s">
        <v>69</v>
      </c>
      <c r="G11" s="85" t="s">
        <v>70</v>
      </c>
      <c r="H11" s="85" t="s">
        <v>71</v>
      </c>
      <c r="I11" s="83" t="s">
        <v>3</v>
      </c>
      <c r="J11" s="15"/>
      <c r="K11" s="8" t="s">
        <v>72</v>
      </c>
      <c r="L11" s="8"/>
      <c r="M11" s="8"/>
      <c r="N11" s="8"/>
      <c r="O11" s="83" t="s">
        <v>73</v>
      </c>
      <c r="P11" s="83"/>
      <c r="Q11" s="83"/>
      <c r="R11" s="83"/>
    </row>
    <row r="12" spans="1:18" ht="15" customHeight="1">
      <c r="A12" s="84"/>
      <c r="B12" s="83"/>
      <c r="C12" s="84"/>
      <c r="D12" s="88"/>
      <c r="E12" s="83"/>
      <c r="F12" s="86"/>
      <c r="G12" s="86"/>
      <c r="H12" s="86"/>
      <c r="I12" s="83"/>
      <c r="J12" s="15"/>
      <c r="K12" s="30" t="s">
        <v>30</v>
      </c>
      <c r="L12" s="24" t="s">
        <v>31</v>
      </c>
      <c r="M12" s="24" t="s">
        <v>32</v>
      </c>
      <c r="N12" s="24" t="s">
        <v>33</v>
      </c>
      <c r="O12" s="32" t="s">
        <v>34</v>
      </c>
      <c r="P12" s="24" t="s">
        <v>79</v>
      </c>
      <c r="Q12" s="24" t="s">
        <v>36</v>
      </c>
      <c r="R12" s="24" t="s">
        <v>37</v>
      </c>
    </row>
    <row r="13" spans="1:18" ht="24.75" customHeight="1">
      <c r="A13" s="26">
        <v>175</v>
      </c>
      <c r="B13" s="25" t="s">
        <v>7</v>
      </c>
      <c r="C13" s="43" t="s">
        <v>113</v>
      </c>
      <c r="D13" s="50" t="s">
        <v>94</v>
      </c>
      <c r="E13" s="51">
        <v>26.35</v>
      </c>
      <c r="F13" s="51">
        <f>5.8*250/210</f>
        <v>6.9047619047619051</v>
      </c>
      <c r="G13" s="51">
        <f>10.67*250/210</f>
        <v>12.702380952380953</v>
      </c>
      <c r="H13" s="51">
        <f>41.48*250/210</f>
        <v>49.38095238095238</v>
      </c>
      <c r="I13" s="51">
        <f>286.36*250/210</f>
        <v>340.90476190476193</v>
      </c>
      <c r="J13" s="50">
        <v>195</v>
      </c>
      <c r="K13" s="51">
        <f>127.7*250/210</f>
        <v>152.02380952380952</v>
      </c>
      <c r="L13" s="51">
        <f>35.53*250/210</f>
        <v>42.297619047619051</v>
      </c>
      <c r="M13" s="51">
        <f>149.6*250/210</f>
        <v>178.0952380952381</v>
      </c>
      <c r="N13" s="51">
        <f>0.8*250/210</f>
        <v>0.95238095238095233</v>
      </c>
      <c r="O13" s="51">
        <f>52.31*250/210</f>
        <v>62.273809523809526</v>
      </c>
      <c r="P13" s="51">
        <f>0.1*250/210</f>
        <v>0.11904761904761904</v>
      </c>
      <c r="Q13" s="51">
        <f>0.55*250/210</f>
        <v>0.65476190476190477</v>
      </c>
      <c r="R13" s="35">
        <f>0.92*250/210</f>
        <v>1.0952380952380953</v>
      </c>
    </row>
    <row r="14" spans="1:18" ht="18" customHeight="1">
      <c r="A14" s="1"/>
      <c r="B14" s="1" t="s">
        <v>8</v>
      </c>
      <c r="C14" s="31" t="s">
        <v>78</v>
      </c>
      <c r="D14" s="32">
        <v>50</v>
      </c>
      <c r="E14" s="35">
        <v>3.5</v>
      </c>
      <c r="F14" s="32">
        <f>3.16*50/40</f>
        <v>3.95</v>
      </c>
      <c r="G14" s="35">
        <f>0.4*50/40</f>
        <v>0.5</v>
      </c>
      <c r="H14" s="35">
        <f>19.32*50/40</f>
        <v>24.15</v>
      </c>
      <c r="I14" s="35">
        <f>93.52*50/40</f>
        <v>116.9</v>
      </c>
      <c r="J14" s="31"/>
      <c r="K14" s="35">
        <f>9.2*50/40</f>
        <v>11.499999999999998</v>
      </c>
      <c r="L14" s="35">
        <f>13.2*50/40</f>
        <v>16.5</v>
      </c>
      <c r="M14" s="35">
        <f>34.8*50/40</f>
        <v>43.499999999999993</v>
      </c>
      <c r="N14" s="35">
        <f>0.44*50/40</f>
        <v>0.55000000000000004</v>
      </c>
      <c r="O14" s="35">
        <v>0</v>
      </c>
      <c r="P14" s="35">
        <f>0.04*50/40</f>
        <v>0.05</v>
      </c>
      <c r="Q14" s="35">
        <f>0.09*50/40</f>
        <v>0.1125</v>
      </c>
      <c r="R14" s="35">
        <f>0.1*50/40</f>
        <v>0.125</v>
      </c>
    </row>
    <row r="15" spans="1:18" ht="18" customHeight="1">
      <c r="A15" s="1">
        <v>382</v>
      </c>
      <c r="B15" s="1" t="s">
        <v>9</v>
      </c>
      <c r="C15" s="31" t="s">
        <v>10</v>
      </c>
      <c r="D15" s="32">
        <v>200</v>
      </c>
      <c r="E15" s="35">
        <v>12.46</v>
      </c>
      <c r="F15" s="32">
        <v>2.94</v>
      </c>
      <c r="G15" s="32">
        <v>3.42</v>
      </c>
      <c r="H15" s="32">
        <v>17.579999999999998</v>
      </c>
      <c r="I15" s="33">
        <v>118.6</v>
      </c>
      <c r="J15" s="31"/>
      <c r="K15" s="35">
        <v>152.19999999999999</v>
      </c>
      <c r="L15" s="35">
        <v>21.34</v>
      </c>
      <c r="M15" s="35">
        <v>124.56</v>
      </c>
      <c r="N15" s="35">
        <v>0.48</v>
      </c>
      <c r="O15" s="35">
        <v>24.4</v>
      </c>
      <c r="P15" s="35">
        <v>0.06</v>
      </c>
      <c r="Q15" s="35">
        <v>0.17</v>
      </c>
      <c r="R15" s="35">
        <v>1.59</v>
      </c>
    </row>
    <row r="16" spans="1:18" ht="18" customHeight="1">
      <c r="A16" s="1">
        <v>15</v>
      </c>
      <c r="B16" s="1" t="s">
        <v>13</v>
      </c>
      <c r="C16" s="31" t="s">
        <v>114</v>
      </c>
      <c r="D16" s="32">
        <v>20</v>
      </c>
      <c r="E16" s="35">
        <v>18.13</v>
      </c>
      <c r="F16" s="32">
        <v>4.6399999999999997</v>
      </c>
      <c r="G16" s="35">
        <v>5.9</v>
      </c>
      <c r="H16" s="35">
        <v>0</v>
      </c>
      <c r="I16" s="35">
        <v>71.66</v>
      </c>
      <c r="J16" s="31"/>
      <c r="K16" s="35">
        <v>176</v>
      </c>
      <c r="L16" s="35">
        <v>7</v>
      </c>
      <c r="M16" s="35">
        <v>100</v>
      </c>
      <c r="N16" s="35">
        <v>0.2</v>
      </c>
      <c r="O16" s="35">
        <v>52</v>
      </c>
      <c r="P16" s="35">
        <v>0.01</v>
      </c>
      <c r="Q16" s="35">
        <v>0</v>
      </c>
      <c r="R16" s="35">
        <v>0.14000000000000001</v>
      </c>
    </row>
    <row r="17" spans="1:18" ht="18" customHeight="1">
      <c r="A17" s="32"/>
      <c r="B17" s="32" t="s">
        <v>14</v>
      </c>
      <c r="C17" s="31" t="s">
        <v>130</v>
      </c>
      <c r="D17" s="32">
        <v>250</v>
      </c>
      <c r="E17" s="35">
        <v>47.5</v>
      </c>
      <c r="F17" s="35">
        <v>2.25</v>
      </c>
      <c r="G17" s="35">
        <v>0.5</v>
      </c>
      <c r="H17" s="35">
        <v>20.25</v>
      </c>
      <c r="I17" s="35">
        <v>107.5</v>
      </c>
      <c r="J17" s="67"/>
      <c r="K17" s="35">
        <v>85</v>
      </c>
      <c r="L17" s="35">
        <v>32.5</v>
      </c>
      <c r="M17" s="35">
        <v>57.5</v>
      </c>
      <c r="N17" s="35">
        <v>0.75</v>
      </c>
      <c r="O17" s="35">
        <v>0</v>
      </c>
      <c r="P17" s="35">
        <v>0.25</v>
      </c>
      <c r="Q17" s="35">
        <v>1.25</v>
      </c>
      <c r="R17" s="35">
        <v>150</v>
      </c>
    </row>
    <row r="18" spans="1:18" ht="18" customHeight="1">
      <c r="A18" s="1"/>
      <c r="B18" s="1" t="s">
        <v>15</v>
      </c>
      <c r="C18" s="31" t="s">
        <v>27</v>
      </c>
      <c r="D18" s="32">
        <v>30</v>
      </c>
      <c r="E18" s="35">
        <v>6.6</v>
      </c>
      <c r="F18" s="35">
        <v>1.2</v>
      </c>
      <c r="G18" s="35">
        <v>1.56</v>
      </c>
      <c r="H18" s="35">
        <v>12.96</v>
      </c>
      <c r="I18" s="35">
        <v>70.38</v>
      </c>
      <c r="J18" s="31"/>
      <c r="K18" s="35">
        <v>19.8</v>
      </c>
      <c r="L18" s="35">
        <v>3.6</v>
      </c>
      <c r="M18" s="35">
        <v>16.2</v>
      </c>
      <c r="N18" s="35">
        <v>0.42</v>
      </c>
      <c r="O18" s="35">
        <v>1.98</v>
      </c>
      <c r="P18" s="35">
        <v>0</v>
      </c>
      <c r="Q18" s="35">
        <v>0</v>
      </c>
      <c r="R18" s="35">
        <v>0</v>
      </c>
    </row>
    <row r="19" spans="1:18">
      <c r="A19" s="82" t="s">
        <v>11</v>
      </c>
      <c r="B19" s="82"/>
      <c r="C19" s="82"/>
      <c r="D19" s="39">
        <v>810</v>
      </c>
      <c r="E19" s="40">
        <f t="shared" ref="E19:I19" si="0">SUM(E13:E18)</f>
        <v>114.53999999999999</v>
      </c>
      <c r="F19" s="40">
        <f t="shared" si="0"/>
        <v>21.884761904761902</v>
      </c>
      <c r="G19" s="40">
        <f t="shared" si="0"/>
        <v>24.582380952380948</v>
      </c>
      <c r="H19" s="40">
        <f t="shared" si="0"/>
        <v>124.32095238095238</v>
      </c>
      <c r="I19" s="40">
        <f t="shared" si="0"/>
        <v>825.94476190476189</v>
      </c>
      <c r="J19" s="41"/>
      <c r="K19" s="40">
        <f t="shared" ref="K19:R19" si="1">SUM(K13:K18)</f>
        <v>596.5238095238094</v>
      </c>
      <c r="L19" s="40">
        <f t="shared" si="1"/>
        <v>123.23761904761905</v>
      </c>
      <c r="M19" s="40">
        <f t="shared" si="1"/>
        <v>519.85523809523818</v>
      </c>
      <c r="N19" s="40">
        <f t="shared" si="1"/>
        <v>3.3523809523809525</v>
      </c>
      <c r="O19" s="40">
        <f t="shared" si="1"/>
        <v>140.65380952380951</v>
      </c>
      <c r="P19" s="40">
        <f t="shared" si="1"/>
        <v>0.48904761904761906</v>
      </c>
      <c r="Q19" s="40">
        <f t="shared" si="1"/>
        <v>2.1872619047619049</v>
      </c>
      <c r="R19" s="40">
        <f t="shared" si="1"/>
        <v>152.95023809523809</v>
      </c>
    </row>
    <row r="20" spans="1:18" ht="18" customHeight="1">
      <c r="A20" s="80" t="s">
        <v>12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spans="1:18" ht="18" customHeight="1">
      <c r="A21" s="84" t="s">
        <v>29</v>
      </c>
      <c r="B21" s="83" t="s">
        <v>0</v>
      </c>
      <c r="C21" s="84" t="s">
        <v>38</v>
      </c>
      <c r="D21" s="83" t="s">
        <v>82</v>
      </c>
      <c r="E21" s="83" t="s">
        <v>2</v>
      </c>
      <c r="F21" s="85" t="s">
        <v>69</v>
      </c>
      <c r="G21" s="85" t="s">
        <v>70</v>
      </c>
      <c r="H21" s="85" t="s">
        <v>71</v>
      </c>
      <c r="I21" s="83" t="s">
        <v>3</v>
      </c>
      <c r="J21" s="15"/>
      <c r="K21" s="8" t="s">
        <v>72</v>
      </c>
      <c r="L21" s="8"/>
      <c r="M21" s="8"/>
      <c r="N21" s="8"/>
      <c r="O21" s="83" t="s">
        <v>73</v>
      </c>
      <c r="P21" s="83"/>
      <c r="Q21" s="83"/>
      <c r="R21" s="83"/>
    </row>
    <row r="22" spans="1:18" ht="15" customHeight="1">
      <c r="A22" s="84"/>
      <c r="B22" s="83"/>
      <c r="C22" s="84"/>
      <c r="D22" s="83"/>
      <c r="E22" s="83"/>
      <c r="F22" s="86"/>
      <c r="G22" s="86"/>
      <c r="H22" s="86"/>
      <c r="I22" s="83"/>
      <c r="J22" s="15"/>
      <c r="K22" s="30" t="s">
        <v>30</v>
      </c>
      <c r="L22" s="24" t="s">
        <v>31</v>
      </c>
      <c r="M22" s="24" t="s">
        <v>32</v>
      </c>
      <c r="N22" s="24" t="s">
        <v>33</v>
      </c>
      <c r="O22" s="24" t="s">
        <v>34</v>
      </c>
      <c r="P22" s="24" t="s">
        <v>79</v>
      </c>
      <c r="Q22" s="24" t="s">
        <v>36</v>
      </c>
      <c r="R22" s="24" t="s">
        <v>37</v>
      </c>
    </row>
    <row r="23" spans="1:18" ht="18" customHeight="1">
      <c r="A23" s="48">
        <v>71</v>
      </c>
      <c r="B23" s="34" t="s">
        <v>7</v>
      </c>
      <c r="C23" s="5" t="s">
        <v>91</v>
      </c>
      <c r="D23" s="1">
        <v>100</v>
      </c>
      <c r="E23" s="1">
        <v>27.14</v>
      </c>
      <c r="F23" s="72">
        <v>1.2</v>
      </c>
      <c r="G23" s="72">
        <v>0.2</v>
      </c>
      <c r="H23" s="72">
        <v>4.5999999999999996</v>
      </c>
      <c r="I23" s="2">
        <v>26</v>
      </c>
      <c r="J23" s="49"/>
      <c r="K23" s="2">
        <v>14</v>
      </c>
      <c r="L23" s="2">
        <v>20</v>
      </c>
      <c r="M23" s="2">
        <v>0</v>
      </c>
      <c r="N23" s="2">
        <v>0.8</v>
      </c>
      <c r="O23" s="2">
        <v>0</v>
      </c>
      <c r="P23" s="2">
        <v>0</v>
      </c>
      <c r="Q23" s="2">
        <v>0</v>
      </c>
      <c r="R23" s="2">
        <v>17.5</v>
      </c>
    </row>
    <row r="24" spans="1:18" ht="27.75" customHeight="1">
      <c r="A24" s="1">
        <v>103</v>
      </c>
      <c r="B24" s="1" t="s">
        <v>8</v>
      </c>
      <c r="C24" s="4" t="s">
        <v>57</v>
      </c>
      <c r="D24" s="32">
        <v>250</v>
      </c>
      <c r="E24" s="53">
        <v>6.67</v>
      </c>
      <c r="F24" s="2">
        <f>2.15*250/200</f>
        <v>2.6875</v>
      </c>
      <c r="G24" s="2">
        <f>2.27*250/200</f>
        <v>2.8374999999999999</v>
      </c>
      <c r="H24" s="2">
        <f>13.96*250/200</f>
        <v>17.45</v>
      </c>
      <c r="I24" s="53">
        <f>94.6*250/200</f>
        <v>118.25</v>
      </c>
      <c r="J24" s="49"/>
      <c r="K24" s="2">
        <f>23.36*250/200</f>
        <v>29.2</v>
      </c>
      <c r="L24" s="2">
        <v>21.82</v>
      </c>
      <c r="M24" s="2">
        <f>54.06*250/200</f>
        <v>67.575000000000003</v>
      </c>
      <c r="N24" s="2">
        <f>0.9*250/200</f>
        <v>1.125</v>
      </c>
      <c r="O24" s="2">
        <v>0</v>
      </c>
      <c r="P24" s="2">
        <f>0.09*250/200</f>
        <v>0.1125</v>
      </c>
      <c r="Q24" s="2">
        <f>0.946*250/200</f>
        <v>1.1825000000000001</v>
      </c>
      <c r="R24" s="2">
        <f>6.6*250/200</f>
        <v>8.25</v>
      </c>
    </row>
    <row r="25" spans="1:18" ht="18" customHeight="1">
      <c r="A25" s="1">
        <v>282</v>
      </c>
      <c r="B25" s="1" t="s">
        <v>9</v>
      </c>
      <c r="C25" s="5" t="s">
        <v>63</v>
      </c>
      <c r="D25" s="32">
        <v>105</v>
      </c>
      <c r="E25" s="2">
        <v>67.28</v>
      </c>
      <c r="F25" s="2">
        <v>16.8</v>
      </c>
      <c r="G25" s="2">
        <v>23.1</v>
      </c>
      <c r="H25" s="2">
        <v>6.1</v>
      </c>
      <c r="I25" s="2">
        <v>299.7</v>
      </c>
      <c r="J25" s="49"/>
      <c r="K25" s="2">
        <v>19.5</v>
      </c>
      <c r="L25" s="2">
        <v>22</v>
      </c>
      <c r="M25" s="2">
        <v>346.9</v>
      </c>
      <c r="N25" s="2">
        <v>7.4</v>
      </c>
      <c r="O25" s="2">
        <v>9.6999999999999993</v>
      </c>
      <c r="P25" s="2">
        <v>2.7</v>
      </c>
      <c r="Q25" s="2">
        <v>9.5</v>
      </c>
      <c r="R25" s="2">
        <v>34.6</v>
      </c>
    </row>
    <row r="26" spans="1:18" ht="18" customHeight="1">
      <c r="A26" s="1">
        <v>198</v>
      </c>
      <c r="B26" s="1" t="s">
        <v>13</v>
      </c>
      <c r="C26" s="31" t="s">
        <v>115</v>
      </c>
      <c r="D26" s="32">
        <v>180</v>
      </c>
      <c r="E26" s="32">
        <v>16.39</v>
      </c>
      <c r="F26" s="35">
        <f>12.99*180/150</f>
        <v>15.587999999999999</v>
      </c>
      <c r="G26" s="35">
        <f>6.52*180/150</f>
        <v>7.823999999999999</v>
      </c>
      <c r="H26" s="35">
        <f>33.35*180/150</f>
        <v>40.020000000000003</v>
      </c>
      <c r="I26" s="35">
        <f>242.86*180/150</f>
        <v>291.43200000000002</v>
      </c>
      <c r="J26" s="73"/>
      <c r="K26" s="35">
        <f>90.2*180/150</f>
        <v>108.24</v>
      </c>
      <c r="L26" s="35">
        <f>58.76*180/150</f>
        <v>70.512</v>
      </c>
      <c r="M26" s="35">
        <f>202.93*180/150</f>
        <v>243.51600000000002</v>
      </c>
      <c r="N26" s="35">
        <f>4.48*180/150</f>
        <v>5.3760000000000003</v>
      </c>
      <c r="O26" s="35">
        <f>28.57*180/150</f>
        <v>34.283999999999999</v>
      </c>
      <c r="P26" s="35">
        <f>0.47*180/150</f>
        <v>0.56399999999999995</v>
      </c>
      <c r="Q26" s="35">
        <f>0.98*180/150</f>
        <v>1.1759999999999999</v>
      </c>
      <c r="R26" s="35">
        <v>0</v>
      </c>
    </row>
    <row r="27" spans="1:18" ht="18" customHeight="1">
      <c r="A27" s="1">
        <v>349</v>
      </c>
      <c r="B27" s="1" t="s">
        <v>14</v>
      </c>
      <c r="C27" s="4" t="s">
        <v>56</v>
      </c>
      <c r="D27" s="32">
        <v>200</v>
      </c>
      <c r="E27" s="1">
        <v>5.48</v>
      </c>
      <c r="F27" s="2">
        <v>0.6</v>
      </c>
      <c r="G27" s="2">
        <v>0.09</v>
      </c>
      <c r="H27" s="2">
        <v>32.01</v>
      </c>
      <c r="I27" s="2">
        <v>132.80000000000001</v>
      </c>
      <c r="J27" s="49"/>
      <c r="K27" s="2">
        <v>32.479999999999997</v>
      </c>
      <c r="L27" s="2">
        <v>17.46</v>
      </c>
      <c r="M27" s="2">
        <v>23.44</v>
      </c>
      <c r="N27" s="2">
        <v>0.7</v>
      </c>
      <c r="O27" s="2">
        <v>0</v>
      </c>
      <c r="P27" s="2">
        <v>0.02</v>
      </c>
      <c r="Q27" s="2">
        <v>0.26</v>
      </c>
      <c r="R27" s="2">
        <v>0.73</v>
      </c>
    </row>
    <row r="28" spans="1:18" ht="18" customHeight="1">
      <c r="A28" s="1"/>
      <c r="B28" s="1">
        <v>6</v>
      </c>
      <c r="C28" s="4" t="s">
        <v>99</v>
      </c>
      <c r="D28" s="32">
        <v>40</v>
      </c>
      <c r="E28" s="2">
        <v>2.8</v>
      </c>
      <c r="F28" s="2">
        <f>1.68*40/30</f>
        <v>2.2400000000000002</v>
      </c>
      <c r="G28" s="2">
        <f>0.33*40/30</f>
        <v>0.44000000000000006</v>
      </c>
      <c r="H28" s="2">
        <f>14.82*40/30</f>
        <v>19.759999999999998</v>
      </c>
      <c r="I28" s="2">
        <f>68.97*40/30</f>
        <v>91.960000000000008</v>
      </c>
      <c r="J28" s="49"/>
      <c r="K28" s="2">
        <f>6.9*40/30</f>
        <v>9.1999999999999993</v>
      </c>
      <c r="L28" s="2">
        <f>7.5*40/30</f>
        <v>10</v>
      </c>
      <c r="M28" s="2">
        <f>31.8*40/30</f>
        <v>42.4</v>
      </c>
      <c r="N28" s="2">
        <f>0.93*40/30</f>
        <v>1.24</v>
      </c>
      <c r="O28" s="2">
        <v>0</v>
      </c>
      <c r="P28" s="2">
        <f>0.03*40/30</f>
        <v>0.04</v>
      </c>
      <c r="Q28" s="2">
        <v>0</v>
      </c>
      <c r="R28" s="2">
        <v>0</v>
      </c>
    </row>
    <row r="29" spans="1:18" ht="18" customHeight="1">
      <c r="A29" s="1"/>
      <c r="B29" s="1" t="s">
        <v>81</v>
      </c>
      <c r="C29" s="31" t="s">
        <v>83</v>
      </c>
      <c r="D29" s="32">
        <v>70</v>
      </c>
      <c r="E29" s="35">
        <v>4.9000000000000004</v>
      </c>
      <c r="F29" s="35">
        <f>2.37*70/30</f>
        <v>5.53</v>
      </c>
      <c r="G29" s="35">
        <f>0.3*70/30</f>
        <v>0.7</v>
      </c>
      <c r="H29" s="35">
        <f>14.49*70/30</f>
        <v>33.81</v>
      </c>
      <c r="I29" s="35">
        <f>70.14*70/30</f>
        <v>163.66</v>
      </c>
      <c r="J29" s="73"/>
      <c r="K29" s="35">
        <f>6.9*70/30</f>
        <v>16.100000000000001</v>
      </c>
      <c r="L29" s="35">
        <f>9.9*70/30</f>
        <v>23.1</v>
      </c>
      <c r="M29" s="35">
        <f>26.1*70/30</f>
        <v>60.9</v>
      </c>
      <c r="N29" s="35">
        <f>0.33*70/30</f>
        <v>0.77</v>
      </c>
      <c r="O29" s="35">
        <v>0</v>
      </c>
      <c r="P29" s="35">
        <f>0.03*70/30</f>
        <v>7.0000000000000007E-2</v>
      </c>
      <c r="Q29" s="35">
        <v>0</v>
      </c>
      <c r="R29" s="35">
        <v>0</v>
      </c>
    </row>
    <row r="30" spans="1:18" ht="18" customHeight="1">
      <c r="A30" s="1">
        <v>386</v>
      </c>
      <c r="B30" s="1" t="s">
        <v>95</v>
      </c>
      <c r="C30" s="27" t="s">
        <v>96</v>
      </c>
      <c r="D30" s="1">
        <v>100</v>
      </c>
      <c r="E30" s="2">
        <v>11.85</v>
      </c>
      <c r="F30" s="2">
        <v>3</v>
      </c>
      <c r="G30" s="2">
        <v>1</v>
      </c>
      <c r="H30" s="2">
        <v>4.2</v>
      </c>
      <c r="I30" s="2">
        <v>40</v>
      </c>
      <c r="J30" s="2">
        <v>40</v>
      </c>
      <c r="K30" s="2">
        <v>124</v>
      </c>
      <c r="L30" s="2">
        <v>14</v>
      </c>
      <c r="M30" s="2">
        <v>92</v>
      </c>
      <c r="N30" s="2">
        <v>0.1</v>
      </c>
      <c r="O30" s="2">
        <v>0</v>
      </c>
      <c r="P30" s="2">
        <v>0.03</v>
      </c>
      <c r="Q30" s="2">
        <v>0.1</v>
      </c>
      <c r="R30" s="2">
        <v>0.3</v>
      </c>
    </row>
    <row r="31" spans="1:18" ht="18" customHeight="1">
      <c r="A31" s="82" t="s">
        <v>11</v>
      </c>
      <c r="B31" s="82"/>
      <c r="C31" s="82"/>
      <c r="D31" s="38">
        <f t="shared" ref="D31:R31" si="2">SUM(D23:D30)</f>
        <v>1045</v>
      </c>
      <c r="E31" s="38">
        <f t="shared" si="2"/>
        <v>142.51</v>
      </c>
      <c r="F31" s="57">
        <f t="shared" si="2"/>
        <v>47.645500000000006</v>
      </c>
      <c r="G31" s="57">
        <f t="shared" si="2"/>
        <v>36.191500000000005</v>
      </c>
      <c r="H31" s="57">
        <f t="shared" si="2"/>
        <v>157.94999999999999</v>
      </c>
      <c r="I31" s="57">
        <f t="shared" si="2"/>
        <v>1163.8020000000001</v>
      </c>
      <c r="J31" s="57">
        <f t="shared" si="2"/>
        <v>40</v>
      </c>
      <c r="K31" s="57">
        <f t="shared" si="2"/>
        <v>352.71999999999997</v>
      </c>
      <c r="L31" s="57">
        <f t="shared" si="2"/>
        <v>198.892</v>
      </c>
      <c r="M31" s="57">
        <f t="shared" si="2"/>
        <v>876.73099999999999</v>
      </c>
      <c r="N31" s="57">
        <f t="shared" si="2"/>
        <v>17.510999999999999</v>
      </c>
      <c r="O31" s="57">
        <f t="shared" si="2"/>
        <v>43.983999999999995</v>
      </c>
      <c r="P31" s="57">
        <f t="shared" si="2"/>
        <v>3.5364999999999998</v>
      </c>
      <c r="Q31" s="57">
        <f t="shared" si="2"/>
        <v>12.218500000000001</v>
      </c>
      <c r="R31" s="57">
        <f t="shared" si="2"/>
        <v>61.379999999999995</v>
      </c>
    </row>
    <row r="32" spans="1:18" ht="18" customHeight="1">
      <c r="A32" s="81" t="s">
        <v>17</v>
      </c>
      <c r="B32" s="81"/>
      <c r="C32" s="81"/>
      <c r="D32" s="81"/>
      <c r="E32" s="13">
        <f>E19+E31</f>
        <v>257.04999999999995</v>
      </c>
      <c r="F32" s="13">
        <f>F19+F31</f>
        <v>69.530261904761915</v>
      </c>
      <c r="G32" s="13">
        <f>G19+G31</f>
        <v>60.773880952380949</v>
      </c>
      <c r="H32" s="13">
        <f>H19+H31</f>
        <v>282.27095238095239</v>
      </c>
      <c r="I32" s="13">
        <f>I19+I31</f>
        <v>1989.746761904762</v>
      </c>
      <c r="J32" s="49"/>
      <c r="K32" s="13">
        <f t="shared" ref="K32:R32" si="3">K19+K31</f>
        <v>949.24380952380943</v>
      </c>
      <c r="L32" s="13">
        <f t="shared" si="3"/>
        <v>322.12961904761903</v>
      </c>
      <c r="M32" s="13">
        <f t="shared" si="3"/>
        <v>1396.5862380952381</v>
      </c>
      <c r="N32" s="13">
        <f t="shared" si="3"/>
        <v>20.86338095238095</v>
      </c>
      <c r="O32" s="13">
        <f t="shared" si="3"/>
        <v>184.63780952380949</v>
      </c>
      <c r="P32" s="13">
        <f t="shared" si="3"/>
        <v>4.0255476190476189</v>
      </c>
      <c r="Q32" s="13">
        <f t="shared" si="3"/>
        <v>14.405761904761906</v>
      </c>
      <c r="R32" s="13">
        <f t="shared" si="3"/>
        <v>214.33023809523809</v>
      </c>
    </row>
    <row r="33" spans="1:34" ht="15" customHeight="1">
      <c r="A33" s="16"/>
      <c r="B33" s="16"/>
      <c r="C33" s="16"/>
      <c r="D33" s="16"/>
      <c r="E33" s="18"/>
      <c r="F33" s="19"/>
      <c r="G33" s="19"/>
      <c r="H33" s="19"/>
      <c r="I33" s="19"/>
      <c r="J33" s="20"/>
      <c r="K33" s="19"/>
      <c r="L33" s="19"/>
      <c r="M33" s="19"/>
      <c r="N33" s="19"/>
      <c r="O33" s="19"/>
      <c r="P33" s="19"/>
      <c r="Q33" s="19"/>
      <c r="R33" s="19"/>
    </row>
    <row r="34" spans="1:34" ht="15" customHeight="1">
      <c r="A34" s="16"/>
      <c r="B34" s="16"/>
      <c r="C34" s="16"/>
      <c r="D34" s="16"/>
      <c r="E34" s="18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19"/>
      <c r="R34" s="19"/>
    </row>
    <row r="35" spans="1:34" ht="18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</row>
    <row r="36" spans="1:34" ht="18" customHeight="1">
      <c r="A36" s="79" t="s">
        <v>41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1:34" ht="18" customHeight="1">
      <c r="A37" s="80" t="s">
        <v>4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1:34" ht="18" customHeight="1">
      <c r="A38" s="84" t="s">
        <v>29</v>
      </c>
      <c r="B38" s="83" t="s">
        <v>0</v>
      </c>
      <c r="C38" s="84" t="s">
        <v>38</v>
      </c>
      <c r="D38" s="83" t="s">
        <v>85</v>
      </c>
      <c r="E38" s="83" t="s">
        <v>2</v>
      </c>
      <c r="F38" s="84" t="s">
        <v>69</v>
      </c>
      <c r="G38" s="84" t="s">
        <v>70</v>
      </c>
      <c r="H38" s="84" t="s">
        <v>71</v>
      </c>
      <c r="I38" s="83" t="s">
        <v>3</v>
      </c>
      <c r="J38" s="15"/>
      <c r="K38" s="8" t="s">
        <v>72</v>
      </c>
      <c r="L38" s="8"/>
      <c r="M38" s="8"/>
      <c r="N38" s="8"/>
      <c r="O38" s="83" t="s">
        <v>73</v>
      </c>
      <c r="P38" s="83"/>
      <c r="Q38" s="83"/>
      <c r="R38" s="83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1:34" ht="15" customHeight="1">
      <c r="A39" s="84"/>
      <c r="B39" s="83"/>
      <c r="C39" s="84"/>
      <c r="D39" s="83"/>
      <c r="E39" s="83"/>
      <c r="F39" s="84"/>
      <c r="G39" s="84"/>
      <c r="H39" s="84"/>
      <c r="I39" s="83"/>
      <c r="J39" s="15"/>
      <c r="K39" s="30" t="s">
        <v>30</v>
      </c>
      <c r="L39" s="24" t="s">
        <v>31</v>
      </c>
      <c r="M39" s="24" t="s">
        <v>32</v>
      </c>
      <c r="N39" s="24" t="s">
        <v>33</v>
      </c>
      <c r="O39" s="24" t="s">
        <v>34</v>
      </c>
      <c r="P39" s="24" t="s">
        <v>79</v>
      </c>
      <c r="Q39" s="24" t="s">
        <v>36</v>
      </c>
      <c r="R39" s="24" t="s">
        <v>37</v>
      </c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1:34" ht="29.25" customHeight="1">
      <c r="A40" s="1">
        <v>181</v>
      </c>
      <c r="B40" s="1" t="s">
        <v>7</v>
      </c>
      <c r="C40" s="4" t="s">
        <v>116</v>
      </c>
      <c r="D40" s="32" t="s">
        <v>94</v>
      </c>
      <c r="E40" s="2">
        <v>25.13</v>
      </c>
      <c r="F40" s="2">
        <f>6.1*250/200</f>
        <v>7.625</v>
      </c>
      <c r="G40" s="2">
        <f>11.3*250/200</f>
        <v>14.125</v>
      </c>
      <c r="H40" s="2">
        <f>33.5*250/200</f>
        <v>41.875</v>
      </c>
      <c r="I40" s="2">
        <f>260*250/200</f>
        <v>325</v>
      </c>
      <c r="J40" s="49"/>
      <c r="K40" s="2">
        <f>192.2*250/200</f>
        <v>240.25</v>
      </c>
      <c r="L40" s="2">
        <f>23.5*250/200</f>
        <v>29.375</v>
      </c>
      <c r="M40" s="2">
        <f>156.1*250/200</f>
        <v>195.125</v>
      </c>
      <c r="N40" s="2">
        <f>0.3*250/200</f>
        <v>0.375</v>
      </c>
      <c r="O40" s="2">
        <f>36.7*250/200</f>
        <v>45.875</v>
      </c>
      <c r="P40" s="2">
        <f>0.1*250/200</f>
        <v>0.125</v>
      </c>
      <c r="Q40" s="2">
        <v>0</v>
      </c>
      <c r="R40" s="2">
        <f>1.1*250/200</f>
        <v>1.375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1:34" ht="18" customHeight="1">
      <c r="A41" s="1"/>
      <c r="B41" s="1" t="s">
        <v>8</v>
      </c>
      <c r="C41" s="27" t="s">
        <v>67</v>
      </c>
      <c r="D41" s="1">
        <v>50</v>
      </c>
      <c r="E41" s="2">
        <v>5.63</v>
      </c>
      <c r="F41" s="2">
        <v>4</v>
      </c>
      <c r="G41" s="2">
        <v>0.7</v>
      </c>
      <c r="H41" s="2">
        <v>21</v>
      </c>
      <c r="I41" s="2">
        <v>106</v>
      </c>
      <c r="J41" s="49"/>
      <c r="K41" s="2">
        <v>11.5</v>
      </c>
      <c r="L41" s="2">
        <v>16.5</v>
      </c>
      <c r="M41" s="2">
        <v>43.5</v>
      </c>
      <c r="N41" s="2">
        <v>1</v>
      </c>
      <c r="O41" s="2">
        <v>0</v>
      </c>
      <c r="P41" s="2">
        <v>0.1</v>
      </c>
      <c r="Q41" s="2">
        <v>0.8</v>
      </c>
      <c r="R41" s="2">
        <v>0</v>
      </c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1:34" ht="18" customHeight="1">
      <c r="A42" s="1">
        <v>209</v>
      </c>
      <c r="B42" s="1" t="s">
        <v>9</v>
      </c>
      <c r="C42" s="27" t="s">
        <v>90</v>
      </c>
      <c r="D42" s="32">
        <v>40</v>
      </c>
      <c r="E42" s="2">
        <v>11</v>
      </c>
      <c r="F42" s="2">
        <v>5.08</v>
      </c>
      <c r="G42" s="2">
        <v>4.5999999999999996</v>
      </c>
      <c r="H42" s="2">
        <v>0.28000000000000003</v>
      </c>
      <c r="I42" s="2">
        <v>63</v>
      </c>
      <c r="J42" s="49"/>
      <c r="K42" s="2">
        <v>22</v>
      </c>
      <c r="L42" s="2">
        <v>4.8</v>
      </c>
      <c r="M42" s="2">
        <v>76.8</v>
      </c>
      <c r="N42" s="2">
        <v>1</v>
      </c>
      <c r="O42" s="2">
        <v>100</v>
      </c>
      <c r="P42" s="2">
        <v>0.03</v>
      </c>
      <c r="Q42" s="2">
        <v>0.08</v>
      </c>
      <c r="R42" s="2">
        <v>0</v>
      </c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1:34" ht="18" customHeight="1">
      <c r="A43" s="1">
        <v>379</v>
      </c>
      <c r="B43" s="1" t="s">
        <v>13</v>
      </c>
      <c r="C43" s="31" t="s">
        <v>18</v>
      </c>
      <c r="D43" s="1">
        <v>200</v>
      </c>
      <c r="E43" s="2">
        <v>13.86</v>
      </c>
      <c r="F43" s="2">
        <v>3.6</v>
      </c>
      <c r="G43" s="2">
        <v>2.7</v>
      </c>
      <c r="H43" s="2">
        <v>28.3</v>
      </c>
      <c r="I43" s="2">
        <v>151.80000000000001</v>
      </c>
      <c r="J43" s="49"/>
      <c r="K43" s="2">
        <v>100.3</v>
      </c>
      <c r="L43" s="2">
        <v>11.7</v>
      </c>
      <c r="M43" s="2">
        <v>75</v>
      </c>
      <c r="N43" s="2">
        <v>0.1</v>
      </c>
      <c r="O43" s="2">
        <v>0</v>
      </c>
      <c r="P43" s="2">
        <v>4.7</v>
      </c>
      <c r="Q43" s="2">
        <v>0.1</v>
      </c>
      <c r="R43" s="2">
        <v>1.1000000000000001</v>
      </c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1:34" ht="18" customHeight="1">
      <c r="A44" s="82" t="s">
        <v>11</v>
      </c>
      <c r="B44" s="82"/>
      <c r="C44" s="82"/>
      <c r="D44" s="36">
        <v>550</v>
      </c>
      <c r="E44" s="13">
        <f>SUM(E40:E43)</f>
        <v>55.62</v>
      </c>
      <c r="F44" s="13">
        <v>16.2</v>
      </c>
      <c r="G44" s="13">
        <v>23.299999999999997</v>
      </c>
      <c r="H44" s="13">
        <v>95.5</v>
      </c>
      <c r="I44" s="13">
        <v>656.40000000000009</v>
      </c>
      <c r="J44" s="49"/>
      <c r="K44" s="13">
        <v>311.5</v>
      </c>
      <c r="L44" s="13">
        <v>61.599999999999994</v>
      </c>
      <c r="M44" s="13">
        <v>300.7</v>
      </c>
      <c r="N44" s="13">
        <v>2</v>
      </c>
      <c r="O44" s="13">
        <f>SUM(O40:O43)</f>
        <v>145.875</v>
      </c>
      <c r="P44" s="13">
        <f>SUM(P40:P43)</f>
        <v>4.9550000000000001</v>
      </c>
      <c r="Q44" s="13">
        <f>SUM(Q40:Q43)</f>
        <v>0.98</v>
      </c>
      <c r="R44" s="13">
        <f>SUM(R40:R43)</f>
        <v>2.4750000000000001</v>
      </c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1:34" ht="18" customHeight="1">
      <c r="A45" s="80" t="s">
        <v>12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</row>
    <row r="46" spans="1:34" ht="18" customHeight="1">
      <c r="A46" s="84" t="s">
        <v>29</v>
      </c>
      <c r="B46" s="83" t="s">
        <v>0</v>
      </c>
      <c r="C46" s="84" t="s">
        <v>38</v>
      </c>
      <c r="D46" s="83" t="s">
        <v>82</v>
      </c>
      <c r="E46" s="83" t="s">
        <v>2</v>
      </c>
      <c r="F46" s="85" t="s">
        <v>69</v>
      </c>
      <c r="G46" s="85" t="s">
        <v>70</v>
      </c>
      <c r="H46" s="85" t="s">
        <v>71</v>
      </c>
      <c r="I46" s="83" t="s">
        <v>3</v>
      </c>
      <c r="J46" s="15"/>
      <c r="K46" s="8" t="s">
        <v>72</v>
      </c>
      <c r="L46" s="8"/>
      <c r="M46" s="8"/>
      <c r="N46" s="8"/>
      <c r="O46" s="83" t="s">
        <v>73</v>
      </c>
      <c r="P46" s="83"/>
      <c r="Q46" s="83"/>
      <c r="R46" s="83"/>
    </row>
    <row r="47" spans="1:34" ht="15" customHeight="1">
      <c r="A47" s="84"/>
      <c r="B47" s="83"/>
      <c r="C47" s="84"/>
      <c r="D47" s="83"/>
      <c r="E47" s="83"/>
      <c r="F47" s="86"/>
      <c r="G47" s="86"/>
      <c r="H47" s="86"/>
      <c r="I47" s="83"/>
      <c r="J47" s="15"/>
      <c r="K47" s="30" t="s">
        <v>30</v>
      </c>
      <c r="L47" s="24" t="s">
        <v>31</v>
      </c>
      <c r="M47" s="24" t="s">
        <v>32</v>
      </c>
      <c r="N47" s="24" t="s">
        <v>33</v>
      </c>
      <c r="O47" s="24" t="s">
        <v>34</v>
      </c>
      <c r="P47" s="24" t="s">
        <v>79</v>
      </c>
      <c r="Q47" s="24" t="s">
        <v>36</v>
      </c>
      <c r="R47" s="24" t="s">
        <v>37</v>
      </c>
    </row>
    <row r="48" spans="1:34" ht="18" customHeight="1">
      <c r="A48" s="28">
        <v>71</v>
      </c>
      <c r="B48" s="1" t="s">
        <v>7</v>
      </c>
      <c r="C48" s="5" t="s">
        <v>92</v>
      </c>
      <c r="D48" s="1">
        <v>100</v>
      </c>
      <c r="E48" s="1">
        <v>23.67</v>
      </c>
      <c r="F48" s="72">
        <v>0.8</v>
      </c>
      <c r="G48" s="72">
        <v>0</v>
      </c>
      <c r="H48" s="72">
        <v>3.3</v>
      </c>
      <c r="I48" s="2">
        <v>16</v>
      </c>
      <c r="J48" s="49"/>
      <c r="K48" s="2">
        <v>23</v>
      </c>
      <c r="L48" s="2">
        <v>0</v>
      </c>
      <c r="M48" s="2">
        <v>0</v>
      </c>
      <c r="N48" s="2">
        <v>0.5</v>
      </c>
      <c r="O48" s="2">
        <v>0</v>
      </c>
      <c r="P48" s="2">
        <v>0</v>
      </c>
      <c r="Q48" s="2">
        <v>0</v>
      </c>
      <c r="R48" s="2">
        <v>5</v>
      </c>
    </row>
    <row r="49" spans="1:18" ht="18" customHeight="1">
      <c r="A49" s="1">
        <v>108</v>
      </c>
      <c r="B49" s="1" t="s">
        <v>8</v>
      </c>
      <c r="C49" s="4" t="s">
        <v>22</v>
      </c>
      <c r="D49" s="47">
        <v>250</v>
      </c>
      <c r="E49" s="2">
        <v>9.6300000000000008</v>
      </c>
      <c r="F49" s="2">
        <v>5.2</v>
      </c>
      <c r="G49" s="2">
        <v>6.3</v>
      </c>
      <c r="H49" s="2">
        <v>29</v>
      </c>
      <c r="I49" s="2">
        <v>193.5</v>
      </c>
      <c r="J49" s="49"/>
      <c r="K49" s="2">
        <v>86</v>
      </c>
      <c r="L49" s="2">
        <v>7.5</v>
      </c>
      <c r="M49" s="2">
        <v>14.7</v>
      </c>
      <c r="N49" s="2">
        <v>0.8</v>
      </c>
      <c r="O49" s="2">
        <v>1.2</v>
      </c>
      <c r="P49" s="2">
        <v>2.4</v>
      </c>
      <c r="Q49" s="2">
        <v>0.2</v>
      </c>
      <c r="R49" s="2">
        <v>1.9</v>
      </c>
    </row>
    <row r="50" spans="1:18" ht="18" customHeight="1">
      <c r="A50" s="1">
        <v>268</v>
      </c>
      <c r="B50" s="1" t="s">
        <v>9</v>
      </c>
      <c r="C50" s="4" t="s">
        <v>23</v>
      </c>
      <c r="D50" s="32">
        <v>100</v>
      </c>
      <c r="E50" s="2">
        <v>51</v>
      </c>
      <c r="F50" s="2">
        <v>14.8</v>
      </c>
      <c r="G50" s="2">
        <v>19.399999999999999</v>
      </c>
      <c r="H50" s="2">
        <v>22.2</v>
      </c>
      <c r="I50" s="2">
        <v>322</v>
      </c>
      <c r="J50" s="49"/>
      <c r="K50" s="2">
        <v>43.7</v>
      </c>
      <c r="L50" s="2">
        <v>32.1</v>
      </c>
      <c r="M50" s="2">
        <v>166.4</v>
      </c>
      <c r="N50" s="2">
        <v>1</v>
      </c>
      <c r="O50" s="2">
        <v>28.7</v>
      </c>
      <c r="P50" s="2">
        <v>0.1</v>
      </c>
      <c r="Q50" s="2">
        <v>0</v>
      </c>
      <c r="R50" s="2">
        <v>0.1</v>
      </c>
    </row>
    <row r="51" spans="1:18" ht="18" customHeight="1">
      <c r="A51" s="1">
        <v>321</v>
      </c>
      <c r="B51" s="1" t="s">
        <v>13</v>
      </c>
      <c r="C51" s="4" t="s">
        <v>24</v>
      </c>
      <c r="D51" s="32">
        <v>180</v>
      </c>
      <c r="E51" s="2">
        <v>10.91</v>
      </c>
      <c r="F51" s="2">
        <f>4*180/200</f>
        <v>3.6</v>
      </c>
      <c r="G51" s="2">
        <f>7.2*180/200</f>
        <v>6.48</v>
      </c>
      <c r="H51" s="2">
        <f>21.2*180/200</f>
        <v>19.079999999999998</v>
      </c>
      <c r="I51" s="2">
        <f>166*180/200</f>
        <v>149.4</v>
      </c>
      <c r="J51" s="49"/>
      <c r="K51" s="2">
        <f>93.2*180/200</f>
        <v>83.88</v>
      </c>
      <c r="L51" s="2">
        <f>30.7*180/200</f>
        <v>27.63</v>
      </c>
      <c r="M51" s="2">
        <f>62.3*180/200</f>
        <v>56.07</v>
      </c>
      <c r="N51" s="2">
        <f>1.2*180/200</f>
        <v>1.08</v>
      </c>
      <c r="O51" s="2">
        <f>0.4*180/200</f>
        <v>0.36</v>
      </c>
      <c r="P51" s="2">
        <f>19.2*180/200</f>
        <v>17.28</v>
      </c>
      <c r="Q51" s="2">
        <f>1.3*180/200</f>
        <v>1.17</v>
      </c>
      <c r="R51" s="2">
        <f>80.7*180/200</f>
        <v>72.63</v>
      </c>
    </row>
    <row r="52" spans="1:18" ht="18" customHeight="1">
      <c r="A52" s="1"/>
      <c r="B52" s="1" t="s">
        <v>14</v>
      </c>
      <c r="C52" s="4" t="s">
        <v>68</v>
      </c>
      <c r="D52" s="1">
        <v>200</v>
      </c>
      <c r="E52" s="2">
        <v>12</v>
      </c>
      <c r="F52" s="2">
        <v>0.2</v>
      </c>
      <c r="G52" s="2">
        <v>0</v>
      </c>
      <c r="H52" s="2">
        <v>3.9</v>
      </c>
      <c r="I52" s="2">
        <v>16</v>
      </c>
      <c r="J52" s="74"/>
      <c r="K52" s="2">
        <v>0.24</v>
      </c>
      <c r="L52" s="2">
        <v>0.2</v>
      </c>
      <c r="M52" s="2">
        <v>0.5</v>
      </c>
      <c r="N52" s="2">
        <v>7</v>
      </c>
      <c r="O52" s="2">
        <v>0</v>
      </c>
      <c r="P52" s="2">
        <v>0.1</v>
      </c>
      <c r="Q52" s="2">
        <v>0</v>
      </c>
      <c r="R52" s="2">
        <v>6</v>
      </c>
    </row>
    <row r="53" spans="1:18" ht="18" customHeight="1">
      <c r="A53" s="1"/>
      <c r="B53" s="1" t="s">
        <v>15</v>
      </c>
      <c r="C53" s="4" t="s">
        <v>99</v>
      </c>
      <c r="D53" s="32">
        <v>40</v>
      </c>
      <c r="E53" s="2">
        <v>2.8</v>
      </c>
      <c r="F53" s="2">
        <v>2.2400000000000002</v>
      </c>
      <c r="G53" s="2">
        <v>0.44000000000000006</v>
      </c>
      <c r="H53" s="2">
        <v>19.759999999999998</v>
      </c>
      <c r="I53" s="2">
        <v>91.960000000000008</v>
      </c>
      <c r="J53" s="74"/>
      <c r="K53" s="2">
        <v>9.1999999999999993</v>
      </c>
      <c r="L53" s="2">
        <v>10</v>
      </c>
      <c r="M53" s="2">
        <v>42.4</v>
      </c>
      <c r="N53" s="2">
        <v>1.24</v>
      </c>
      <c r="O53" s="2">
        <v>0</v>
      </c>
      <c r="P53" s="2">
        <v>0.04</v>
      </c>
      <c r="Q53" s="2">
        <v>0</v>
      </c>
      <c r="R53" s="2">
        <v>0</v>
      </c>
    </row>
    <row r="54" spans="1:18" ht="18" customHeight="1">
      <c r="A54" s="1"/>
      <c r="B54" s="1" t="s">
        <v>81</v>
      </c>
      <c r="C54" s="27" t="s">
        <v>83</v>
      </c>
      <c r="D54" s="32">
        <v>70</v>
      </c>
      <c r="E54" s="35">
        <v>4.9000000000000004</v>
      </c>
      <c r="F54" s="2">
        <v>5.53</v>
      </c>
      <c r="G54" s="2">
        <v>0.7</v>
      </c>
      <c r="H54" s="2">
        <v>33.81</v>
      </c>
      <c r="I54" s="2">
        <v>163.66</v>
      </c>
      <c r="J54" s="49"/>
      <c r="K54" s="2">
        <v>16.100000000000001</v>
      </c>
      <c r="L54" s="2">
        <v>23.1</v>
      </c>
      <c r="M54" s="2">
        <v>60.9</v>
      </c>
      <c r="N54" s="2">
        <v>0.77</v>
      </c>
      <c r="O54" s="2">
        <v>0</v>
      </c>
      <c r="P54" s="2">
        <v>7.0000000000000007E-2</v>
      </c>
      <c r="Q54" s="2">
        <v>0</v>
      </c>
      <c r="R54" s="2">
        <v>0</v>
      </c>
    </row>
    <row r="55" spans="1:18" ht="18" customHeight="1">
      <c r="A55" s="1">
        <v>386</v>
      </c>
      <c r="B55" s="1" t="s">
        <v>95</v>
      </c>
      <c r="C55" s="27" t="s">
        <v>97</v>
      </c>
      <c r="D55" s="1">
        <v>100</v>
      </c>
      <c r="E55" s="2">
        <v>11.85</v>
      </c>
      <c r="F55" s="2">
        <v>2.7</v>
      </c>
      <c r="G55" s="2">
        <v>2.5</v>
      </c>
      <c r="H55" s="2">
        <v>10.8</v>
      </c>
      <c r="I55" s="2">
        <v>79</v>
      </c>
      <c r="J55" s="49"/>
      <c r="K55" s="2">
        <v>121</v>
      </c>
      <c r="L55" s="2">
        <v>15</v>
      </c>
      <c r="M55" s="2">
        <v>94</v>
      </c>
      <c r="N55" s="2">
        <v>0.1</v>
      </c>
      <c r="O55" s="2">
        <v>20</v>
      </c>
      <c r="P55" s="2">
        <v>4.4999999999999998E-2</v>
      </c>
      <c r="Q55" s="2">
        <v>0.1</v>
      </c>
      <c r="R55" s="2">
        <v>0.9</v>
      </c>
    </row>
    <row r="56" spans="1:18" ht="18" customHeight="1">
      <c r="A56" s="82" t="s">
        <v>11</v>
      </c>
      <c r="B56" s="82"/>
      <c r="C56" s="82"/>
      <c r="D56" s="36">
        <f>SUM(D48:D55)</f>
        <v>1040</v>
      </c>
      <c r="E56" s="36">
        <f t="shared" ref="E56:R56" si="4">SUM(E48:E55)</f>
        <v>126.76</v>
      </c>
      <c r="F56" s="75">
        <f t="shared" si="4"/>
        <v>35.070000000000007</v>
      </c>
      <c r="G56" s="75">
        <f t="shared" si="4"/>
        <v>35.82</v>
      </c>
      <c r="H56" s="75">
        <f t="shared" si="4"/>
        <v>141.85000000000002</v>
      </c>
      <c r="I56" s="75">
        <f t="shared" si="4"/>
        <v>1031.52</v>
      </c>
      <c r="J56" s="75">
        <f t="shared" si="4"/>
        <v>0</v>
      </c>
      <c r="K56" s="75">
        <f t="shared" si="4"/>
        <v>383.12</v>
      </c>
      <c r="L56" s="75">
        <f t="shared" si="4"/>
        <v>115.53</v>
      </c>
      <c r="M56" s="75">
        <f t="shared" si="4"/>
        <v>434.96999999999997</v>
      </c>
      <c r="N56" s="75">
        <f t="shared" si="4"/>
        <v>12.489999999999998</v>
      </c>
      <c r="O56" s="75">
        <f t="shared" si="4"/>
        <v>50.26</v>
      </c>
      <c r="P56" s="75">
        <f t="shared" si="4"/>
        <v>20.035000000000004</v>
      </c>
      <c r="Q56" s="75">
        <f t="shared" si="4"/>
        <v>1.47</v>
      </c>
      <c r="R56" s="75">
        <f t="shared" si="4"/>
        <v>86.53</v>
      </c>
    </row>
    <row r="57" spans="1:18" ht="18" customHeight="1">
      <c r="A57" s="81" t="s">
        <v>17</v>
      </c>
      <c r="B57" s="81"/>
      <c r="C57" s="81"/>
      <c r="D57" s="81"/>
      <c r="E57" s="13">
        <f>E44+E56</f>
        <v>182.38</v>
      </c>
      <c r="F57" s="13">
        <f>F44+F56</f>
        <v>51.27000000000001</v>
      </c>
      <c r="G57" s="13">
        <f>G44+G56</f>
        <v>59.12</v>
      </c>
      <c r="H57" s="13">
        <f>H44+H56</f>
        <v>237.35000000000002</v>
      </c>
      <c r="I57" s="13">
        <f>I44+I56</f>
        <v>1687.92</v>
      </c>
      <c r="J57" s="49"/>
      <c r="K57" s="13">
        <f t="shared" ref="K57:R57" si="5">K44+K56</f>
        <v>694.62</v>
      </c>
      <c r="L57" s="13">
        <f t="shared" si="5"/>
        <v>177.13</v>
      </c>
      <c r="M57" s="13">
        <f t="shared" si="5"/>
        <v>735.67</v>
      </c>
      <c r="N57" s="13">
        <f t="shared" si="5"/>
        <v>14.489999999999998</v>
      </c>
      <c r="O57" s="13">
        <f t="shared" si="5"/>
        <v>196.13499999999999</v>
      </c>
      <c r="P57" s="13">
        <f t="shared" si="5"/>
        <v>24.990000000000002</v>
      </c>
      <c r="Q57" s="13">
        <f t="shared" si="5"/>
        <v>2.4500000000000002</v>
      </c>
      <c r="R57" s="13">
        <f t="shared" si="5"/>
        <v>89.004999999999995</v>
      </c>
    </row>
    <row r="58" spans="1:18" ht="15" customHeight="1">
      <c r="A58" s="16"/>
      <c r="B58" s="16"/>
      <c r="C58" s="16"/>
      <c r="D58" s="16"/>
      <c r="E58" s="17"/>
      <c r="F58" s="18"/>
      <c r="G58" s="18"/>
      <c r="H58" s="18"/>
      <c r="I58" s="18"/>
      <c r="J58" s="20"/>
      <c r="K58" s="18"/>
      <c r="L58" s="17"/>
      <c r="M58" s="18"/>
      <c r="N58" s="18"/>
      <c r="O58" s="18"/>
      <c r="P58" s="17"/>
      <c r="Q58" s="17"/>
      <c r="R58" s="17"/>
    </row>
    <row r="59" spans="1:18" ht="15" customHeight="1">
      <c r="A59" s="16"/>
      <c r="B59" s="16"/>
      <c r="C59" s="16"/>
      <c r="D59" s="16"/>
      <c r="E59" s="17"/>
      <c r="F59" s="18"/>
      <c r="G59" s="18"/>
      <c r="H59" s="18"/>
      <c r="I59" s="18"/>
      <c r="J59" s="20"/>
      <c r="K59" s="18"/>
      <c r="L59" s="17"/>
      <c r="M59" s="18"/>
      <c r="N59" s="18"/>
      <c r="O59" s="18"/>
      <c r="P59" s="17"/>
      <c r="Q59" s="17"/>
      <c r="R59" s="17"/>
    </row>
    <row r="60" spans="1:18" ht="15" customHeight="1">
      <c r="A60" s="16"/>
      <c r="B60" s="16"/>
      <c r="C60" s="16"/>
      <c r="D60" s="16"/>
      <c r="E60" s="17"/>
      <c r="F60" s="18"/>
      <c r="G60" s="18"/>
      <c r="H60" s="18"/>
      <c r="I60" s="18"/>
      <c r="J60" s="20"/>
      <c r="K60" s="18"/>
      <c r="L60" s="17"/>
      <c r="M60" s="18"/>
      <c r="N60" s="18"/>
      <c r="O60" s="18"/>
      <c r="P60" s="17"/>
      <c r="Q60" s="17"/>
      <c r="R60" s="17"/>
    </row>
    <row r="61" spans="1:18" ht="15" customHeight="1">
      <c r="A61" s="16"/>
      <c r="B61" s="16"/>
      <c r="C61" s="16"/>
      <c r="D61" s="16"/>
      <c r="E61" s="17"/>
      <c r="F61" s="18"/>
      <c r="G61" s="18"/>
      <c r="H61" s="18"/>
      <c r="I61" s="18"/>
      <c r="J61" s="20"/>
      <c r="K61" s="18"/>
      <c r="L61" s="17"/>
      <c r="M61" s="18"/>
      <c r="N61" s="18"/>
      <c r="O61" s="18"/>
      <c r="P61" s="17"/>
      <c r="Q61" s="17"/>
      <c r="R61" s="17"/>
    </row>
    <row r="62" spans="1:18" ht="15" customHeight="1">
      <c r="A62" s="16"/>
      <c r="B62" s="16"/>
      <c r="C62" s="16"/>
      <c r="D62" s="16"/>
      <c r="E62" s="17"/>
      <c r="F62" s="18"/>
      <c r="G62" s="18"/>
      <c r="H62" s="18"/>
      <c r="I62" s="18"/>
      <c r="J62" s="20"/>
      <c r="K62" s="18"/>
      <c r="L62" s="17"/>
      <c r="M62" s="18"/>
      <c r="N62" s="18"/>
      <c r="O62" s="18"/>
      <c r="P62" s="17"/>
      <c r="Q62" s="17"/>
      <c r="R62" s="17"/>
    </row>
    <row r="63" spans="1:18" ht="15" customHeight="1">
      <c r="A63" s="16"/>
      <c r="B63" s="16"/>
      <c r="C63" s="16"/>
      <c r="D63" s="16"/>
      <c r="E63" s="17"/>
      <c r="F63" s="18"/>
      <c r="G63" s="18"/>
      <c r="H63" s="18"/>
      <c r="I63" s="18"/>
      <c r="J63" s="20"/>
      <c r="K63" s="18"/>
      <c r="L63" s="17"/>
      <c r="M63" s="18"/>
      <c r="N63" s="18"/>
      <c r="O63" s="18"/>
      <c r="P63" s="17"/>
      <c r="Q63" s="17"/>
      <c r="R63" s="17"/>
    </row>
    <row r="64" spans="1:18" ht="15" customHeight="1">
      <c r="A64" s="16"/>
      <c r="B64" s="16"/>
      <c r="C64" s="16"/>
      <c r="D64" s="16"/>
      <c r="E64" s="17"/>
      <c r="F64" s="18"/>
      <c r="G64" s="18"/>
      <c r="H64" s="18"/>
      <c r="I64" s="18"/>
      <c r="J64" s="20"/>
      <c r="K64" s="18"/>
      <c r="L64" s="17"/>
      <c r="M64" s="18"/>
      <c r="N64" s="18"/>
      <c r="O64" s="18"/>
      <c r="P64" s="17"/>
      <c r="Q64" s="17"/>
      <c r="R64" s="17"/>
    </row>
    <row r="65" spans="1:18" ht="15" customHeight="1">
      <c r="A65" s="16"/>
      <c r="B65" s="16"/>
      <c r="C65" s="16"/>
      <c r="D65" s="16"/>
      <c r="E65" s="17"/>
      <c r="F65" s="18"/>
      <c r="G65" s="18"/>
      <c r="H65" s="18"/>
      <c r="I65" s="18"/>
      <c r="J65" s="20"/>
      <c r="K65" s="18"/>
      <c r="L65" s="17"/>
      <c r="M65" s="18"/>
      <c r="N65" s="18"/>
      <c r="O65" s="18"/>
      <c r="P65" s="17"/>
      <c r="Q65" s="17"/>
      <c r="R65" s="17"/>
    </row>
    <row r="66" spans="1:18" ht="18" customHeight="1">
      <c r="A66" s="89" t="s">
        <v>87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1"/>
    </row>
    <row r="67" spans="1:18" ht="18" customHeight="1">
      <c r="A67" s="80" t="s">
        <v>4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8" customHeight="1">
      <c r="A68" s="85" t="s">
        <v>29</v>
      </c>
      <c r="B68" s="92" t="s">
        <v>0</v>
      </c>
      <c r="C68" s="85" t="s">
        <v>38</v>
      </c>
      <c r="D68" s="92" t="s">
        <v>85</v>
      </c>
      <c r="E68" s="92" t="s">
        <v>2</v>
      </c>
      <c r="F68" s="85" t="s">
        <v>69</v>
      </c>
      <c r="G68" s="85" t="s">
        <v>70</v>
      </c>
      <c r="H68" s="85" t="s">
        <v>71</v>
      </c>
      <c r="I68" s="92" t="s">
        <v>3</v>
      </c>
      <c r="J68" s="15"/>
      <c r="K68" s="8" t="s">
        <v>72</v>
      </c>
      <c r="L68" s="8"/>
      <c r="M68" s="8"/>
      <c r="N68" s="8"/>
      <c r="O68" s="112" t="s">
        <v>73</v>
      </c>
      <c r="P68" s="113"/>
      <c r="Q68" s="113"/>
      <c r="R68" s="114"/>
    </row>
    <row r="69" spans="1:18" ht="15" customHeight="1">
      <c r="A69" s="86"/>
      <c r="B69" s="93"/>
      <c r="C69" s="86"/>
      <c r="D69" s="93"/>
      <c r="E69" s="93"/>
      <c r="F69" s="86"/>
      <c r="G69" s="86"/>
      <c r="H69" s="86"/>
      <c r="I69" s="93"/>
      <c r="J69" s="15"/>
      <c r="K69" s="30" t="s">
        <v>30</v>
      </c>
      <c r="L69" s="24" t="s">
        <v>31</v>
      </c>
      <c r="M69" s="24" t="s">
        <v>32</v>
      </c>
      <c r="N69" s="24" t="s">
        <v>33</v>
      </c>
      <c r="O69" s="24" t="s">
        <v>34</v>
      </c>
      <c r="P69" s="24" t="s">
        <v>79</v>
      </c>
      <c r="Q69" s="24" t="s">
        <v>36</v>
      </c>
      <c r="R69" s="24" t="s">
        <v>37</v>
      </c>
    </row>
    <row r="70" spans="1:18" ht="20.45" customHeight="1">
      <c r="A70" s="59"/>
      <c r="B70" s="32">
        <v>1</v>
      </c>
      <c r="C70" s="69" t="s">
        <v>130</v>
      </c>
      <c r="D70" s="32">
        <v>160</v>
      </c>
      <c r="E70" s="35">
        <v>33.6</v>
      </c>
      <c r="F70" s="62">
        <v>1.22</v>
      </c>
      <c r="G70" s="62">
        <v>0.63</v>
      </c>
      <c r="H70" s="70">
        <v>12.8</v>
      </c>
      <c r="I70" s="35">
        <v>74.3</v>
      </c>
      <c r="J70" s="73"/>
      <c r="K70" s="35">
        <v>63.2</v>
      </c>
      <c r="L70" s="35">
        <v>39.5</v>
      </c>
      <c r="M70" s="35">
        <v>53.72</v>
      </c>
      <c r="N70" s="35">
        <v>1.26</v>
      </c>
      <c r="O70" s="35">
        <v>23.7</v>
      </c>
      <c r="P70" s="35">
        <v>3.2000000000000001E-2</v>
      </c>
      <c r="Q70" s="35">
        <v>0</v>
      </c>
      <c r="R70" s="35">
        <v>284.39999999999998</v>
      </c>
    </row>
    <row r="71" spans="1:18" ht="17.45" customHeight="1">
      <c r="A71" s="1">
        <v>219</v>
      </c>
      <c r="B71" s="1" t="s">
        <v>8</v>
      </c>
      <c r="C71" s="45" t="s">
        <v>55</v>
      </c>
      <c r="D71" s="32" t="s">
        <v>104</v>
      </c>
      <c r="E71" s="1">
        <v>53.83</v>
      </c>
      <c r="F71" s="2">
        <v>23.142857142857142</v>
      </c>
      <c r="G71" s="1">
        <v>19.221428571428572</v>
      </c>
      <c r="H71" s="2">
        <v>36.728571428571428</v>
      </c>
      <c r="I71" s="2">
        <v>413.57142857142856</v>
      </c>
      <c r="J71" s="49"/>
      <c r="K71" s="2">
        <v>301.5</v>
      </c>
      <c r="L71" s="2">
        <v>39.299999999999997</v>
      </c>
      <c r="M71" s="2">
        <v>336.17142857142858</v>
      </c>
      <c r="N71" s="2">
        <v>0.81428571428571428</v>
      </c>
      <c r="O71" s="2">
        <v>79.071428571428569</v>
      </c>
      <c r="P71" s="2">
        <v>4.2000000000000003E-2</v>
      </c>
      <c r="Q71" s="2">
        <v>0.31</v>
      </c>
      <c r="R71" s="2">
        <v>0.70714285714285718</v>
      </c>
    </row>
    <row r="72" spans="1:18" ht="17.45" customHeight="1">
      <c r="A72" s="28"/>
      <c r="B72" s="1" t="s">
        <v>9</v>
      </c>
      <c r="C72" s="27" t="s">
        <v>84</v>
      </c>
      <c r="D72" s="1">
        <v>40</v>
      </c>
      <c r="E72" s="2">
        <v>2.8</v>
      </c>
      <c r="F72" s="2">
        <v>2.4</v>
      </c>
      <c r="G72" s="2">
        <v>0.4</v>
      </c>
      <c r="H72" s="2">
        <v>12.6</v>
      </c>
      <c r="I72" s="2">
        <v>63.6</v>
      </c>
      <c r="J72" s="49"/>
      <c r="K72" s="2">
        <v>6.9</v>
      </c>
      <c r="L72" s="2">
        <v>9.9</v>
      </c>
      <c r="M72" s="2">
        <v>26.1</v>
      </c>
      <c r="N72" s="2">
        <v>0.6</v>
      </c>
      <c r="O72" s="2">
        <v>0</v>
      </c>
      <c r="P72" s="2">
        <v>0.1</v>
      </c>
      <c r="Q72" s="2">
        <v>0.5</v>
      </c>
      <c r="R72" s="2">
        <v>0</v>
      </c>
    </row>
    <row r="73" spans="1:18" ht="18" customHeight="1">
      <c r="A73" s="1">
        <v>376</v>
      </c>
      <c r="B73" s="1" t="s">
        <v>13</v>
      </c>
      <c r="C73" s="27" t="s">
        <v>16</v>
      </c>
      <c r="D73" s="1">
        <v>200</v>
      </c>
      <c r="E73" s="2">
        <v>1.63</v>
      </c>
      <c r="F73" s="2">
        <v>0.1</v>
      </c>
      <c r="G73" s="2">
        <v>0</v>
      </c>
      <c r="H73" s="2">
        <v>15</v>
      </c>
      <c r="I73" s="2">
        <v>60</v>
      </c>
      <c r="J73" s="49"/>
      <c r="K73" s="2">
        <v>5</v>
      </c>
      <c r="L73" s="2">
        <v>0</v>
      </c>
      <c r="M73" s="2">
        <v>0</v>
      </c>
      <c r="N73" s="2">
        <v>2</v>
      </c>
      <c r="O73" s="2">
        <v>0</v>
      </c>
      <c r="P73" s="2">
        <v>0</v>
      </c>
      <c r="Q73" s="2">
        <v>0</v>
      </c>
      <c r="R73" s="2">
        <v>0</v>
      </c>
    </row>
    <row r="74" spans="1:18" ht="18" customHeight="1">
      <c r="A74" s="115" t="s">
        <v>11</v>
      </c>
      <c r="B74" s="116"/>
      <c r="C74" s="117"/>
      <c r="D74" s="36">
        <v>550</v>
      </c>
      <c r="E74" s="13">
        <f t="shared" ref="E74:R74" si="6">SUM(E70:E73)</f>
        <v>91.86</v>
      </c>
      <c r="F74" s="13">
        <f t="shared" si="6"/>
        <v>26.862857142857141</v>
      </c>
      <c r="G74" s="13">
        <f t="shared" si="6"/>
        <v>20.251428571428569</v>
      </c>
      <c r="H74" s="13">
        <f t="shared" si="6"/>
        <v>77.128571428571433</v>
      </c>
      <c r="I74" s="13">
        <f t="shared" si="6"/>
        <v>611.47142857142853</v>
      </c>
      <c r="J74" s="13">
        <f t="shared" si="6"/>
        <v>0</v>
      </c>
      <c r="K74" s="13">
        <f t="shared" si="6"/>
        <v>376.59999999999997</v>
      </c>
      <c r="L74" s="13">
        <f t="shared" si="6"/>
        <v>88.7</v>
      </c>
      <c r="M74" s="13">
        <f t="shared" si="6"/>
        <v>415.99142857142863</v>
      </c>
      <c r="N74" s="13">
        <f t="shared" si="6"/>
        <v>4.6742857142857144</v>
      </c>
      <c r="O74" s="13">
        <f t="shared" si="6"/>
        <v>102.77142857142857</v>
      </c>
      <c r="P74" s="13">
        <f t="shared" si="6"/>
        <v>0.17400000000000002</v>
      </c>
      <c r="Q74" s="13">
        <f t="shared" si="6"/>
        <v>0.81</v>
      </c>
      <c r="R74" s="13">
        <f t="shared" si="6"/>
        <v>285.10714285714283</v>
      </c>
    </row>
    <row r="75" spans="1:18" ht="18" customHeight="1">
      <c r="A75" s="80" t="s">
        <v>12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7"/>
    </row>
    <row r="76" spans="1:18" ht="18" customHeight="1">
      <c r="A76" s="84" t="s">
        <v>29</v>
      </c>
      <c r="B76" s="83" t="s">
        <v>0</v>
      </c>
      <c r="C76" s="84" t="s">
        <v>38</v>
      </c>
      <c r="D76" s="83" t="s">
        <v>85</v>
      </c>
      <c r="E76" s="83" t="s">
        <v>2</v>
      </c>
      <c r="F76" s="85" t="s">
        <v>69</v>
      </c>
      <c r="G76" s="85" t="s">
        <v>70</v>
      </c>
      <c r="H76" s="85" t="s">
        <v>71</v>
      </c>
      <c r="I76" s="83" t="s">
        <v>3</v>
      </c>
      <c r="J76" s="15"/>
      <c r="K76" s="8" t="s">
        <v>72</v>
      </c>
      <c r="L76" s="8"/>
      <c r="M76" s="8"/>
      <c r="N76" s="8"/>
      <c r="O76" s="83" t="s">
        <v>73</v>
      </c>
      <c r="P76" s="83"/>
      <c r="Q76" s="83"/>
      <c r="R76" s="83"/>
    </row>
    <row r="77" spans="1:18" ht="15" customHeight="1">
      <c r="A77" s="84"/>
      <c r="B77" s="83"/>
      <c r="C77" s="84"/>
      <c r="D77" s="83"/>
      <c r="E77" s="83"/>
      <c r="F77" s="86"/>
      <c r="G77" s="86"/>
      <c r="H77" s="86"/>
      <c r="I77" s="83"/>
      <c r="J77" s="15"/>
      <c r="K77" s="30" t="s">
        <v>30</v>
      </c>
      <c r="L77" s="24" t="s">
        <v>31</v>
      </c>
      <c r="M77" s="24" t="s">
        <v>32</v>
      </c>
      <c r="N77" s="24" t="s">
        <v>33</v>
      </c>
      <c r="O77" s="24" t="s">
        <v>77</v>
      </c>
      <c r="P77" s="24" t="s">
        <v>35</v>
      </c>
      <c r="Q77" s="24" t="s">
        <v>36</v>
      </c>
      <c r="R77" s="24" t="s">
        <v>37</v>
      </c>
    </row>
    <row r="78" spans="1:18" ht="18" customHeight="1">
      <c r="A78" s="28">
        <v>52</v>
      </c>
      <c r="B78" s="1" t="s">
        <v>7</v>
      </c>
      <c r="C78" s="5" t="s">
        <v>93</v>
      </c>
      <c r="D78" s="1">
        <v>100</v>
      </c>
      <c r="E78" s="2">
        <v>8.41</v>
      </c>
      <c r="F78" s="72">
        <v>1.7</v>
      </c>
      <c r="G78" s="72">
        <v>6</v>
      </c>
      <c r="H78" s="72">
        <v>11</v>
      </c>
      <c r="I78" s="2">
        <v>104</v>
      </c>
      <c r="J78" s="2"/>
      <c r="K78" s="2">
        <v>35.200000000000003</v>
      </c>
      <c r="L78" s="2">
        <v>20.8</v>
      </c>
      <c r="M78" s="2">
        <v>41</v>
      </c>
      <c r="N78" s="2">
        <v>1.3</v>
      </c>
      <c r="O78" s="2">
        <v>0</v>
      </c>
      <c r="P78" s="2">
        <v>0</v>
      </c>
      <c r="Q78" s="2">
        <v>0.2</v>
      </c>
      <c r="R78" s="2">
        <v>9.5</v>
      </c>
    </row>
    <row r="79" spans="1:18" ht="27" customHeight="1">
      <c r="A79" s="1">
        <v>88</v>
      </c>
      <c r="B79" s="1" t="s">
        <v>8</v>
      </c>
      <c r="C79" s="4" t="s">
        <v>19</v>
      </c>
      <c r="D79" s="32">
        <v>250</v>
      </c>
      <c r="E79" s="1">
        <v>8.07</v>
      </c>
      <c r="F79" s="2">
        <v>1.6</v>
      </c>
      <c r="G79" s="2">
        <v>4.9000000000000004</v>
      </c>
      <c r="H79" s="2">
        <v>11.5</v>
      </c>
      <c r="I79" s="2">
        <v>96.8</v>
      </c>
      <c r="J79" s="74"/>
      <c r="K79" s="2">
        <v>75.2</v>
      </c>
      <c r="L79" s="2">
        <v>14.7</v>
      </c>
      <c r="M79" s="2">
        <v>34.200000000000003</v>
      </c>
      <c r="N79" s="2">
        <v>1.0249999999999999</v>
      </c>
      <c r="O79" s="2">
        <v>1</v>
      </c>
      <c r="P79" s="2">
        <v>5.5</v>
      </c>
      <c r="Q79" s="2">
        <v>0.6</v>
      </c>
      <c r="R79" s="2">
        <v>9.5</v>
      </c>
    </row>
    <row r="80" spans="1:18" ht="18" customHeight="1">
      <c r="A80" s="1">
        <v>234</v>
      </c>
      <c r="B80" s="1" t="s">
        <v>9</v>
      </c>
      <c r="C80" s="6" t="s">
        <v>59</v>
      </c>
      <c r="D80" s="32" t="s">
        <v>117</v>
      </c>
      <c r="E80" s="1">
        <v>32.93</v>
      </c>
      <c r="F80" s="2">
        <v>14.8</v>
      </c>
      <c r="G80" s="2">
        <v>18.8</v>
      </c>
      <c r="H80" s="2">
        <v>11.6</v>
      </c>
      <c r="I80" s="2">
        <v>274</v>
      </c>
      <c r="J80" s="74"/>
      <c r="K80" s="2">
        <v>139.30000000000001</v>
      </c>
      <c r="L80" s="2">
        <v>0</v>
      </c>
      <c r="M80" s="2">
        <v>0</v>
      </c>
      <c r="N80" s="2">
        <v>1</v>
      </c>
      <c r="O80" s="2">
        <v>0</v>
      </c>
      <c r="P80" s="2">
        <v>0.2</v>
      </c>
      <c r="Q80" s="2">
        <v>0</v>
      </c>
      <c r="R80" s="2">
        <v>6.8</v>
      </c>
    </row>
    <row r="81" spans="1:18" ht="18" customHeight="1">
      <c r="A81" s="1">
        <v>304</v>
      </c>
      <c r="B81" s="1" t="s">
        <v>13</v>
      </c>
      <c r="C81" s="27" t="s">
        <v>66</v>
      </c>
      <c r="D81" s="32">
        <v>180</v>
      </c>
      <c r="E81" s="1">
        <v>16.07</v>
      </c>
      <c r="F81" s="2">
        <f>5.1*180/200</f>
        <v>4.59</v>
      </c>
      <c r="G81" s="2">
        <f>8.1*180/200</f>
        <v>7.29</v>
      </c>
      <c r="H81" s="2">
        <f>55.2*180/200</f>
        <v>49.68</v>
      </c>
      <c r="I81" s="2">
        <f>314.3*180/200</f>
        <v>282.87</v>
      </c>
      <c r="J81" s="74"/>
      <c r="K81" s="2">
        <f>187.7*180/200</f>
        <v>168.93</v>
      </c>
      <c r="L81" s="2">
        <f>153.6*180/200</f>
        <v>138.24</v>
      </c>
      <c r="M81" s="2">
        <f>522.8*180/200</f>
        <v>470.51999999999992</v>
      </c>
      <c r="N81" s="2">
        <f>4.8*180/200</f>
        <v>4.32</v>
      </c>
      <c r="O81" s="2">
        <v>0</v>
      </c>
      <c r="P81" s="2">
        <f>57.1*180/200</f>
        <v>51.39</v>
      </c>
      <c r="Q81" s="2">
        <f>6*180/200</f>
        <v>5.4</v>
      </c>
      <c r="R81" s="55">
        <v>0</v>
      </c>
    </row>
    <row r="82" spans="1:18" ht="18" customHeight="1">
      <c r="A82" s="1">
        <v>348</v>
      </c>
      <c r="B82" s="1" t="s">
        <v>14</v>
      </c>
      <c r="C82" s="27" t="s">
        <v>74</v>
      </c>
      <c r="D82" s="1">
        <v>200</v>
      </c>
      <c r="E82" s="1">
        <v>10.63</v>
      </c>
      <c r="F82" s="2">
        <v>0.6</v>
      </c>
      <c r="G82" s="2">
        <v>0</v>
      </c>
      <c r="H82" s="2">
        <v>37</v>
      </c>
      <c r="I82" s="2">
        <v>150.4</v>
      </c>
      <c r="J82" s="74"/>
      <c r="K82" s="2">
        <v>11.2</v>
      </c>
      <c r="L82" s="2">
        <v>0</v>
      </c>
      <c r="M82" s="2">
        <v>0</v>
      </c>
      <c r="N82" s="2">
        <v>0.5</v>
      </c>
      <c r="O82" s="2">
        <v>0</v>
      </c>
      <c r="P82" s="2">
        <v>0</v>
      </c>
      <c r="Q82" s="2">
        <v>0</v>
      </c>
      <c r="R82" s="2">
        <v>0.4</v>
      </c>
    </row>
    <row r="83" spans="1:18" ht="18" customHeight="1">
      <c r="A83" s="1"/>
      <c r="B83" s="1" t="s">
        <v>15</v>
      </c>
      <c r="C83" s="27" t="s">
        <v>80</v>
      </c>
      <c r="D83" s="32">
        <v>40</v>
      </c>
      <c r="E83" s="2">
        <v>2.8</v>
      </c>
      <c r="F83" s="2">
        <v>2.2400000000000002</v>
      </c>
      <c r="G83" s="2">
        <v>0.44000000000000006</v>
      </c>
      <c r="H83" s="2">
        <v>19.759999999999998</v>
      </c>
      <c r="I83" s="2">
        <v>91.960000000000008</v>
      </c>
      <c r="J83" s="74"/>
      <c r="K83" s="2">
        <v>9.1999999999999993</v>
      </c>
      <c r="L83" s="2">
        <v>10</v>
      </c>
      <c r="M83" s="2">
        <v>42.4</v>
      </c>
      <c r="N83" s="2">
        <v>1.24</v>
      </c>
      <c r="O83" s="2">
        <v>0</v>
      </c>
      <c r="P83" s="2">
        <v>0.04</v>
      </c>
      <c r="Q83" s="2">
        <v>0</v>
      </c>
      <c r="R83" s="2">
        <v>0</v>
      </c>
    </row>
    <row r="84" spans="1:18" ht="18" customHeight="1">
      <c r="A84" s="1"/>
      <c r="B84" s="1" t="s">
        <v>81</v>
      </c>
      <c r="C84" s="31" t="s">
        <v>83</v>
      </c>
      <c r="D84" s="32">
        <v>70</v>
      </c>
      <c r="E84" s="35">
        <v>4.9000000000000004</v>
      </c>
      <c r="F84" s="2">
        <v>5.53</v>
      </c>
      <c r="G84" s="2">
        <v>0.7</v>
      </c>
      <c r="H84" s="2">
        <v>33.81</v>
      </c>
      <c r="I84" s="2">
        <v>163.66</v>
      </c>
      <c r="J84" s="49"/>
      <c r="K84" s="2">
        <v>16.100000000000001</v>
      </c>
      <c r="L84" s="2">
        <v>23.1</v>
      </c>
      <c r="M84" s="2">
        <v>60.9</v>
      </c>
      <c r="N84" s="2">
        <v>0.77</v>
      </c>
      <c r="O84" s="2">
        <v>0</v>
      </c>
      <c r="P84" s="2">
        <v>7.0000000000000007E-2</v>
      </c>
      <c r="Q84" s="2">
        <v>0</v>
      </c>
      <c r="R84" s="2">
        <v>0</v>
      </c>
    </row>
    <row r="85" spans="1:18" ht="18" customHeight="1">
      <c r="A85" s="82" t="s">
        <v>11</v>
      </c>
      <c r="B85" s="82"/>
      <c r="C85" s="82"/>
      <c r="D85" s="24">
        <v>945</v>
      </c>
      <c r="E85" s="24">
        <f t="shared" ref="E85:R85" si="7">SUM(E78:E84)</f>
        <v>83.809999999999988</v>
      </c>
      <c r="F85" s="13">
        <f t="shared" si="7"/>
        <v>31.060000000000002</v>
      </c>
      <c r="G85" s="13">
        <f t="shared" si="7"/>
        <v>38.130000000000003</v>
      </c>
      <c r="H85" s="13">
        <f t="shared" si="7"/>
        <v>174.35</v>
      </c>
      <c r="I85" s="13">
        <f t="shared" si="7"/>
        <v>1163.69</v>
      </c>
      <c r="J85" s="13">
        <f t="shared" si="7"/>
        <v>0</v>
      </c>
      <c r="K85" s="13">
        <f t="shared" si="7"/>
        <v>455.13</v>
      </c>
      <c r="L85" s="13">
        <f t="shared" si="7"/>
        <v>206.84</v>
      </c>
      <c r="M85" s="13">
        <f t="shared" si="7"/>
        <v>649.01999999999987</v>
      </c>
      <c r="N85" s="13">
        <f t="shared" si="7"/>
        <v>10.154999999999999</v>
      </c>
      <c r="O85" s="13">
        <f t="shared" si="7"/>
        <v>1</v>
      </c>
      <c r="P85" s="13">
        <f t="shared" si="7"/>
        <v>57.2</v>
      </c>
      <c r="Q85" s="13">
        <f t="shared" si="7"/>
        <v>6.2</v>
      </c>
      <c r="R85" s="13">
        <f t="shared" si="7"/>
        <v>26.2</v>
      </c>
    </row>
    <row r="86" spans="1:18" ht="18" customHeight="1">
      <c r="A86" s="81" t="s">
        <v>17</v>
      </c>
      <c r="B86" s="81"/>
      <c r="C86" s="81"/>
      <c r="D86" s="81"/>
      <c r="E86" s="13">
        <f t="shared" ref="E86:R86" si="8">E74+E85</f>
        <v>175.67</v>
      </c>
      <c r="F86" s="13">
        <f t="shared" si="8"/>
        <v>57.92285714285714</v>
      </c>
      <c r="G86" s="13">
        <f t="shared" si="8"/>
        <v>58.381428571428572</v>
      </c>
      <c r="H86" s="13">
        <f t="shared" si="8"/>
        <v>251.47857142857143</v>
      </c>
      <c r="I86" s="13">
        <f t="shared" si="8"/>
        <v>1775.1614285714286</v>
      </c>
      <c r="J86" s="13">
        <f t="shared" si="8"/>
        <v>0</v>
      </c>
      <c r="K86" s="13">
        <f t="shared" si="8"/>
        <v>831.73</v>
      </c>
      <c r="L86" s="13">
        <f t="shared" si="8"/>
        <v>295.54000000000002</v>
      </c>
      <c r="M86" s="13">
        <f t="shared" si="8"/>
        <v>1065.0114285714285</v>
      </c>
      <c r="N86" s="13">
        <f t="shared" si="8"/>
        <v>14.829285714285714</v>
      </c>
      <c r="O86" s="13">
        <f t="shared" si="8"/>
        <v>103.77142857142857</v>
      </c>
      <c r="P86" s="13">
        <f t="shared" si="8"/>
        <v>57.374000000000002</v>
      </c>
      <c r="Q86" s="13">
        <f t="shared" si="8"/>
        <v>7.01</v>
      </c>
      <c r="R86" s="13">
        <f t="shared" si="8"/>
        <v>311.30714285714282</v>
      </c>
    </row>
    <row r="87" spans="1:18">
      <c r="A87" s="16"/>
      <c r="B87" s="16"/>
      <c r="C87" s="16"/>
      <c r="D87" s="16"/>
      <c r="E87" s="17"/>
      <c r="F87" s="18"/>
      <c r="G87" s="18"/>
      <c r="H87" s="19"/>
      <c r="I87" s="19"/>
      <c r="J87" s="20"/>
      <c r="K87" s="17"/>
      <c r="L87" s="17"/>
      <c r="M87" s="17"/>
      <c r="N87" s="17"/>
      <c r="O87" s="18"/>
      <c r="P87" s="18"/>
      <c r="Q87" s="17"/>
      <c r="R87" s="18"/>
    </row>
    <row r="88" spans="1:18">
      <c r="A88" s="16"/>
      <c r="B88" s="16"/>
      <c r="C88" s="16"/>
      <c r="D88" s="16"/>
      <c r="E88" s="17"/>
      <c r="F88" s="18"/>
      <c r="G88" s="18"/>
      <c r="H88" s="19"/>
      <c r="I88" s="19"/>
      <c r="J88" s="20"/>
      <c r="K88" s="17"/>
      <c r="L88" s="17"/>
      <c r="M88" s="17"/>
      <c r="N88" s="17"/>
      <c r="O88" s="18"/>
      <c r="P88" s="18"/>
      <c r="Q88" s="17"/>
      <c r="R88" s="18"/>
    </row>
    <row r="89" spans="1:18">
      <c r="A89" s="16"/>
      <c r="B89" s="16"/>
      <c r="C89" s="16"/>
      <c r="D89" s="16"/>
      <c r="E89" s="17"/>
      <c r="F89" s="18"/>
      <c r="G89" s="18"/>
      <c r="H89" s="19"/>
      <c r="I89" s="19"/>
      <c r="J89" s="20"/>
      <c r="K89" s="17"/>
      <c r="L89" s="17"/>
      <c r="M89" s="17"/>
      <c r="N89" s="17"/>
      <c r="O89" s="18"/>
      <c r="P89" s="18"/>
      <c r="Q89" s="17"/>
      <c r="R89" s="18"/>
    </row>
    <row r="90" spans="1:18">
      <c r="A90" s="16"/>
      <c r="B90" s="16"/>
      <c r="C90" s="16"/>
      <c r="D90" s="16"/>
      <c r="E90" s="17"/>
      <c r="F90" s="18"/>
      <c r="G90" s="18"/>
      <c r="H90" s="19"/>
      <c r="I90" s="19"/>
      <c r="J90" s="20"/>
      <c r="K90" s="17"/>
      <c r="L90" s="17"/>
      <c r="M90" s="17"/>
      <c r="N90" s="17"/>
      <c r="O90" s="18"/>
      <c r="P90" s="18"/>
      <c r="Q90" s="17"/>
      <c r="R90" s="18"/>
    </row>
    <row r="91" spans="1:18">
      <c r="A91" s="16"/>
      <c r="B91" s="16"/>
      <c r="C91" s="16"/>
      <c r="D91" s="16"/>
      <c r="E91" s="17"/>
      <c r="F91" s="18"/>
      <c r="G91" s="18"/>
      <c r="H91" s="19"/>
      <c r="I91" s="19"/>
      <c r="J91" s="20"/>
      <c r="K91" s="17"/>
      <c r="L91" s="17"/>
      <c r="M91" s="17"/>
      <c r="N91" s="17"/>
      <c r="O91" s="18"/>
      <c r="P91" s="18"/>
      <c r="Q91" s="17"/>
      <c r="R91" s="18"/>
    </row>
    <row r="92" spans="1:18" ht="18" customHeight="1">
      <c r="A92" s="89" t="s">
        <v>43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1"/>
    </row>
    <row r="93" spans="1:18" ht="18" customHeight="1">
      <c r="A93" s="80" t="s">
        <v>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</row>
    <row r="94" spans="1:18" ht="26.45" customHeight="1">
      <c r="A94" s="84" t="s">
        <v>29</v>
      </c>
      <c r="B94" s="83" t="s">
        <v>0</v>
      </c>
      <c r="C94" s="84" t="s">
        <v>38</v>
      </c>
      <c r="D94" s="83" t="s">
        <v>82</v>
      </c>
      <c r="E94" s="83" t="s">
        <v>2</v>
      </c>
      <c r="F94" s="85" t="s">
        <v>69</v>
      </c>
      <c r="G94" s="85" t="s">
        <v>70</v>
      </c>
      <c r="H94" s="85" t="s">
        <v>71</v>
      </c>
      <c r="I94" s="83" t="s">
        <v>3</v>
      </c>
      <c r="J94" s="15"/>
      <c r="K94" s="8" t="s">
        <v>72</v>
      </c>
      <c r="L94" s="8"/>
      <c r="M94" s="8"/>
      <c r="N94" s="8"/>
      <c r="O94" s="83" t="s">
        <v>73</v>
      </c>
      <c r="P94" s="83"/>
      <c r="Q94" s="83"/>
      <c r="R94" s="83"/>
    </row>
    <row r="95" spans="1:18" ht="12.6" customHeight="1">
      <c r="A95" s="84"/>
      <c r="B95" s="83"/>
      <c r="C95" s="84"/>
      <c r="D95" s="83"/>
      <c r="E95" s="83"/>
      <c r="F95" s="86"/>
      <c r="G95" s="86"/>
      <c r="H95" s="86"/>
      <c r="I95" s="83"/>
      <c r="J95" s="15"/>
      <c r="K95" s="30" t="s">
        <v>30</v>
      </c>
      <c r="L95" s="24" t="s">
        <v>31</v>
      </c>
      <c r="M95" s="24" t="s">
        <v>32</v>
      </c>
      <c r="N95" s="24" t="s">
        <v>33</v>
      </c>
      <c r="O95" s="24" t="s">
        <v>34</v>
      </c>
      <c r="P95" s="24" t="s">
        <v>79</v>
      </c>
      <c r="Q95" s="24" t="s">
        <v>36</v>
      </c>
      <c r="R95" s="24" t="s">
        <v>37</v>
      </c>
    </row>
    <row r="96" spans="1:18" ht="26.45" customHeight="1">
      <c r="A96" s="28">
        <v>173</v>
      </c>
      <c r="B96" s="1" t="s">
        <v>7</v>
      </c>
      <c r="C96" s="44" t="s">
        <v>118</v>
      </c>
      <c r="D96" s="1" t="s">
        <v>94</v>
      </c>
      <c r="E96" s="35">
        <v>26.57</v>
      </c>
      <c r="F96" s="35">
        <f>6.03*250/210</f>
        <v>7.1785714285714288</v>
      </c>
      <c r="G96" s="35">
        <f>11.51*250/210</f>
        <v>13.702380952380953</v>
      </c>
      <c r="H96" s="35">
        <f>33.31*250/210</f>
        <v>39.654761904761905</v>
      </c>
      <c r="I96" s="35">
        <f>261*250/210</f>
        <v>310.71428571428572</v>
      </c>
      <c r="J96" s="73"/>
      <c r="K96" s="35">
        <f>126.93*250/210</f>
        <v>151.10714285714286</v>
      </c>
      <c r="L96" s="35">
        <f>47.62*250/210</f>
        <v>56.69047619047619</v>
      </c>
      <c r="M96" s="35">
        <f>172.94*250/210</f>
        <v>205.88095238095238</v>
      </c>
      <c r="N96" s="35">
        <f>1.08*250/210</f>
        <v>1.2857142857142858</v>
      </c>
      <c r="O96" s="35">
        <f>0.04*250/210</f>
        <v>4.7619047619047616E-2</v>
      </c>
      <c r="P96" s="35">
        <v>0.13</v>
      </c>
      <c r="Q96" s="35">
        <v>0</v>
      </c>
      <c r="R96" s="2">
        <f>0.55*250/210</f>
        <v>0.65476190476190477</v>
      </c>
    </row>
    <row r="97" spans="1:18" ht="18" customHeight="1">
      <c r="A97" s="48"/>
      <c r="B97" s="1" t="s">
        <v>8</v>
      </c>
      <c r="C97" s="5" t="s">
        <v>78</v>
      </c>
      <c r="D97" s="1">
        <v>80</v>
      </c>
      <c r="E97" s="2">
        <v>5.6</v>
      </c>
      <c r="F97" s="2">
        <v>6.32</v>
      </c>
      <c r="G97" s="2">
        <v>0.8</v>
      </c>
      <c r="H97" s="2">
        <v>38.64</v>
      </c>
      <c r="I97" s="2">
        <v>187</v>
      </c>
      <c r="J97" s="49"/>
      <c r="K97" s="2">
        <v>18.399999999999999</v>
      </c>
      <c r="L97" s="2">
        <v>26.4</v>
      </c>
      <c r="M97" s="2">
        <v>69.599999999999994</v>
      </c>
      <c r="N97" s="2">
        <v>0.88</v>
      </c>
      <c r="O97" s="2">
        <v>0</v>
      </c>
      <c r="P97" s="2">
        <v>0.08</v>
      </c>
      <c r="Q97" s="2">
        <v>0.2</v>
      </c>
      <c r="R97" s="2">
        <v>0.2</v>
      </c>
    </row>
    <row r="98" spans="1:18" ht="18" customHeight="1">
      <c r="A98" s="1">
        <v>15</v>
      </c>
      <c r="B98" s="1" t="s">
        <v>9</v>
      </c>
      <c r="C98" s="31" t="s">
        <v>114</v>
      </c>
      <c r="D98" s="32">
        <v>10</v>
      </c>
      <c r="E98" s="35">
        <v>9.07</v>
      </c>
      <c r="F98" s="35">
        <v>4.6399999999999997</v>
      </c>
      <c r="G98" s="35">
        <v>5.9</v>
      </c>
      <c r="H98" s="35">
        <v>0</v>
      </c>
      <c r="I98" s="35">
        <v>71.66</v>
      </c>
      <c r="J98" s="76"/>
      <c r="K98" s="35">
        <v>176</v>
      </c>
      <c r="L98" s="35">
        <v>7</v>
      </c>
      <c r="M98" s="35">
        <v>100</v>
      </c>
      <c r="N98" s="35">
        <v>0.2</v>
      </c>
      <c r="O98" s="35">
        <v>52</v>
      </c>
      <c r="P98" s="35">
        <v>0.01</v>
      </c>
      <c r="Q98" s="35">
        <v>0</v>
      </c>
      <c r="R98" s="35">
        <v>0.14000000000000001</v>
      </c>
    </row>
    <row r="99" spans="1:18" ht="18" customHeight="1">
      <c r="A99" s="1">
        <v>377</v>
      </c>
      <c r="B99" s="1" t="s">
        <v>13</v>
      </c>
      <c r="C99" s="27" t="s">
        <v>26</v>
      </c>
      <c r="D99" s="1">
        <v>200</v>
      </c>
      <c r="E99" s="2">
        <v>3.63</v>
      </c>
      <c r="F99" s="2">
        <v>0.2</v>
      </c>
      <c r="G99" s="2">
        <v>0</v>
      </c>
      <c r="H99" s="2">
        <v>16</v>
      </c>
      <c r="I99" s="2">
        <v>65</v>
      </c>
      <c r="J99" s="49"/>
      <c r="K99" s="2">
        <v>225.1</v>
      </c>
      <c r="L99" s="2">
        <v>198.2</v>
      </c>
      <c r="M99" s="2">
        <v>371.1</v>
      </c>
      <c r="N99" s="2">
        <v>36.799999999999997</v>
      </c>
      <c r="O99" s="2">
        <v>0</v>
      </c>
      <c r="P99" s="2">
        <v>1.1000000000000001</v>
      </c>
      <c r="Q99" s="2">
        <v>3.6</v>
      </c>
      <c r="R99" s="2">
        <v>7.3</v>
      </c>
    </row>
    <row r="100" spans="1:18" ht="18" customHeight="1">
      <c r="A100" s="82" t="s">
        <v>11</v>
      </c>
      <c r="B100" s="82"/>
      <c r="C100" s="82"/>
      <c r="D100" s="24">
        <v>550</v>
      </c>
      <c r="E100" s="13">
        <f>SUM(E95:E99)</f>
        <v>44.870000000000005</v>
      </c>
      <c r="F100" s="13">
        <f>SUM(F95:F99)</f>
        <v>18.338571428571427</v>
      </c>
      <c r="G100" s="13">
        <f>SUM(G95:G99)</f>
        <v>20.402380952380952</v>
      </c>
      <c r="H100" s="13">
        <f>SUM(H95:H99)</f>
        <v>94.294761904761913</v>
      </c>
      <c r="I100" s="13">
        <f>SUM(I95:I99)</f>
        <v>634.37428571428575</v>
      </c>
      <c r="J100" s="49"/>
      <c r="K100" s="13">
        <f t="shared" ref="K100:R100" si="9">SUM(K96:K99)</f>
        <v>570.60714285714289</v>
      </c>
      <c r="L100" s="13">
        <f t="shared" si="9"/>
        <v>288.29047619047617</v>
      </c>
      <c r="M100" s="13">
        <f t="shared" si="9"/>
        <v>746.58095238095234</v>
      </c>
      <c r="N100" s="13">
        <f t="shared" si="9"/>
        <v>39.16571428571428</v>
      </c>
      <c r="O100" s="13">
        <f t="shared" si="9"/>
        <v>52.047619047619051</v>
      </c>
      <c r="P100" s="13">
        <f t="shared" si="9"/>
        <v>1.32</v>
      </c>
      <c r="Q100" s="13">
        <f t="shared" si="9"/>
        <v>3.8000000000000003</v>
      </c>
      <c r="R100" s="13">
        <f t="shared" si="9"/>
        <v>8.2947619047619039</v>
      </c>
    </row>
    <row r="101" spans="1:18" ht="18" customHeight="1">
      <c r="A101" s="87" t="s">
        <v>12</v>
      </c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6"/>
    </row>
    <row r="102" spans="1:18" ht="18" customHeight="1">
      <c r="A102" s="84" t="s">
        <v>29</v>
      </c>
      <c r="B102" s="83" t="s">
        <v>0</v>
      </c>
      <c r="C102" s="84" t="s">
        <v>38</v>
      </c>
      <c r="D102" s="83" t="s">
        <v>82</v>
      </c>
      <c r="E102" s="83" t="s">
        <v>2</v>
      </c>
      <c r="F102" s="85" t="s">
        <v>69</v>
      </c>
      <c r="G102" s="85" t="s">
        <v>70</v>
      </c>
      <c r="H102" s="85" t="s">
        <v>71</v>
      </c>
      <c r="I102" s="83" t="s">
        <v>3</v>
      </c>
      <c r="J102" s="15"/>
      <c r="K102" s="8" t="s">
        <v>72</v>
      </c>
      <c r="L102" s="8"/>
      <c r="M102" s="8"/>
      <c r="N102" s="8"/>
      <c r="O102" s="83" t="s">
        <v>73</v>
      </c>
      <c r="P102" s="83"/>
      <c r="Q102" s="83"/>
      <c r="R102" s="83"/>
    </row>
    <row r="103" spans="1:18" ht="15" customHeight="1">
      <c r="A103" s="84"/>
      <c r="B103" s="83"/>
      <c r="C103" s="84"/>
      <c r="D103" s="83"/>
      <c r="E103" s="83"/>
      <c r="F103" s="86"/>
      <c r="G103" s="86"/>
      <c r="H103" s="86"/>
      <c r="I103" s="83"/>
      <c r="J103" s="15"/>
      <c r="K103" s="30" t="s">
        <v>30</v>
      </c>
      <c r="L103" s="24" t="s">
        <v>31</v>
      </c>
      <c r="M103" s="24" t="s">
        <v>32</v>
      </c>
      <c r="N103" s="24" t="s">
        <v>33</v>
      </c>
      <c r="O103" s="24" t="s">
        <v>34</v>
      </c>
      <c r="P103" s="24" t="s">
        <v>79</v>
      </c>
      <c r="Q103" s="24" t="s">
        <v>36</v>
      </c>
      <c r="R103" s="24" t="s">
        <v>37</v>
      </c>
    </row>
    <row r="104" spans="1:18" ht="18" customHeight="1">
      <c r="A104" s="28">
        <v>71</v>
      </c>
      <c r="B104" s="1" t="s">
        <v>7</v>
      </c>
      <c r="C104" s="5" t="s">
        <v>92</v>
      </c>
      <c r="D104" s="1">
        <v>100</v>
      </c>
      <c r="E104" s="1">
        <v>23.67</v>
      </c>
      <c r="F104" s="72">
        <v>0.8</v>
      </c>
      <c r="G104" s="72">
        <v>0</v>
      </c>
      <c r="H104" s="72">
        <v>3.3</v>
      </c>
      <c r="I104" s="2">
        <v>16</v>
      </c>
      <c r="J104" s="49"/>
      <c r="K104" s="2">
        <v>23</v>
      </c>
      <c r="L104" s="2">
        <v>0</v>
      </c>
      <c r="M104" s="2">
        <v>0</v>
      </c>
      <c r="N104" s="2">
        <v>0.5</v>
      </c>
      <c r="O104" s="2">
        <v>0</v>
      </c>
      <c r="P104" s="2">
        <v>0</v>
      </c>
      <c r="Q104" s="2">
        <v>0</v>
      </c>
      <c r="R104" s="2">
        <v>5</v>
      </c>
    </row>
    <row r="105" spans="1:18" ht="28.15" customHeight="1">
      <c r="A105" s="1">
        <v>104</v>
      </c>
      <c r="B105" s="1" t="s">
        <v>8</v>
      </c>
      <c r="C105" s="4" t="s">
        <v>20</v>
      </c>
      <c r="D105" s="32" t="s">
        <v>119</v>
      </c>
      <c r="E105" s="1">
        <v>34.159999999999997</v>
      </c>
      <c r="F105" s="2">
        <f>9*250/200</f>
        <v>11.25</v>
      </c>
      <c r="G105" s="2">
        <f>6.3*250/200</f>
        <v>7.875</v>
      </c>
      <c r="H105" s="2">
        <f>22.1*250/200</f>
        <v>27.625</v>
      </c>
      <c r="I105" s="2">
        <f>180.9*250/200</f>
        <v>226.125</v>
      </c>
      <c r="J105" s="2"/>
      <c r="K105" s="2">
        <f>66.15*250/200</f>
        <v>82.6875</v>
      </c>
      <c r="L105" s="2">
        <f>26.5*250/200</f>
        <v>33.125</v>
      </c>
      <c r="M105" s="2">
        <f>64.1*250/200</f>
        <v>80.124999999999986</v>
      </c>
      <c r="N105" s="2">
        <f>1.38*250/200</f>
        <v>1.7250000000000001</v>
      </c>
      <c r="O105" s="2">
        <f>0.8*250/200</f>
        <v>1</v>
      </c>
      <c r="P105" s="2">
        <f>9.48*250/200</f>
        <v>11.85</v>
      </c>
      <c r="Q105" s="2">
        <f>1.3*250/200</f>
        <v>1.625</v>
      </c>
      <c r="R105" s="2">
        <f>20.03*250/200</f>
        <v>25.037500000000001</v>
      </c>
    </row>
    <row r="106" spans="1:18" ht="18" customHeight="1">
      <c r="A106" s="1">
        <v>289</v>
      </c>
      <c r="B106" s="1" t="s">
        <v>9</v>
      </c>
      <c r="C106" s="5" t="s">
        <v>120</v>
      </c>
      <c r="D106" s="1" t="s">
        <v>121</v>
      </c>
      <c r="E106" s="2">
        <v>46.95</v>
      </c>
      <c r="F106" s="2">
        <v>22.6</v>
      </c>
      <c r="G106" s="2">
        <v>28.6</v>
      </c>
      <c r="H106" s="2">
        <v>29.4</v>
      </c>
      <c r="I106" s="2">
        <v>465.6</v>
      </c>
      <c r="J106" s="2"/>
      <c r="K106" s="2">
        <v>58.9</v>
      </c>
      <c r="L106" s="2">
        <v>62.2</v>
      </c>
      <c r="M106" s="2">
        <v>173.1</v>
      </c>
      <c r="N106" s="2">
        <v>3</v>
      </c>
      <c r="O106" s="2">
        <v>0</v>
      </c>
      <c r="P106" s="2">
        <v>0.3</v>
      </c>
      <c r="Q106" s="2">
        <v>6.7</v>
      </c>
      <c r="R106" s="2">
        <v>18.100000000000001</v>
      </c>
    </row>
    <row r="107" spans="1:18" ht="18" customHeight="1">
      <c r="A107" s="1">
        <v>1041</v>
      </c>
      <c r="B107" s="1" t="s">
        <v>13</v>
      </c>
      <c r="C107" s="27" t="s">
        <v>62</v>
      </c>
      <c r="D107" s="1">
        <v>200</v>
      </c>
      <c r="E107" s="1">
        <v>6.41</v>
      </c>
      <c r="F107" s="2">
        <v>0.1</v>
      </c>
      <c r="G107" s="2">
        <v>0</v>
      </c>
      <c r="H107" s="2">
        <v>27.1</v>
      </c>
      <c r="I107" s="2">
        <v>108.6</v>
      </c>
      <c r="J107" s="55"/>
      <c r="K107" s="2">
        <v>23.52</v>
      </c>
      <c r="L107" s="2">
        <v>0</v>
      </c>
      <c r="M107" s="2">
        <v>0</v>
      </c>
      <c r="N107" s="2">
        <v>0.24</v>
      </c>
      <c r="O107" s="2">
        <v>0</v>
      </c>
      <c r="P107" s="2">
        <v>0.03</v>
      </c>
      <c r="Q107" s="2">
        <v>0</v>
      </c>
      <c r="R107" s="2">
        <v>12.9</v>
      </c>
    </row>
    <row r="108" spans="1:18" ht="18" customHeight="1">
      <c r="A108" s="1"/>
      <c r="B108" s="1" t="s">
        <v>14</v>
      </c>
      <c r="C108" s="4" t="s">
        <v>99</v>
      </c>
      <c r="D108" s="32">
        <v>40</v>
      </c>
      <c r="E108" s="2">
        <v>2.8</v>
      </c>
      <c r="F108" s="2">
        <v>2.2400000000000002</v>
      </c>
      <c r="G108" s="2">
        <v>0.44000000000000006</v>
      </c>
      <c r="H108" s="2">
        <v>19.759999999999998</v>
      </c>
      <c r="I108" s="2">
        <v>91.960000000000008</v>
      </c>
      <c r="J108" s="2"/>
      <c r="K108" s="2">
        <v>9.1999999999999993</v>
      </c>
      <c r="L108" s="2">
        <v>10</v>
      </c>
      <c r="M108" s="2">
        <v>42.4</v>
      </c>
      <c r="N108" s="2">
        <v>1.24</v>
      </c>
      <c r="O108" s="2">
        <v>0</v>
      </c>
      <c r="P108" s="2">
        <v>0.04</v>
      </c>
      <c r="Q108" s="2">
        <v>0</v>
      </c>
      <c r="R108" s="2">
        <v>0</v>
      </c>
    </row>
    <row r="109" spans="1:18" ht="18" customHeight="1">
      <c r="A109" s="1"/>
      <c r="B109" s="1" t="s">
        <v>15</v>
      </c>
      <c r="C109" s="31" t="s">
        <v>83</v>
      </c>
      <c r="D109" s="32">
        <v>70</v>
      </c>
      <c r="E109" s="35">
        <v>4.9000000000000004</v>
      </c>
      <c r="F109" s="2">
        <v>5.53</v>
      </c>
      <c r="G109" s="2">
        <v>0.7</v>
      </c>
      <c r="H109" s="2">
        <v>33.81</v>
      </c>
      <c r="I109" s="2">
        <v>163.66</v>
      </c>
      <c r="J109" s="2"/>
      <c r="K109" s="2">
        <v>16.100000000000001</v>
      </c>
      <c r="L109" s="2">
        <v>23.1</v>
      </c>
      <c r="M109" s="2">
        <v>60.9</v>
      </c>
      <c r="N109" s="2">
        <v>0.77</v>
      </c>
      <c r="O109" s="2">
        <v>0</v>
      </c>
      <c r="P109" s="2">
        <v>7.0000000000000007E-2</v>
      </c>
      <c r="Q109" s="2">
        <v>0</v>
      </c>
      <c r="R109" s="2">
        <v>0</v>
      </c>
    </row>
    <row r="110" spans="1:18" ht="18" customHeight="1">
      <c r="A110" s="1">
        <v>386</v>
      </c>
      <c r="B110" s="1" t="s">
        <v>81</v>
      </c>
      <c r="C110" s="27" t="s">
        <v>97</v>
      </c>
      <c r="D110" s="1">
        <v>100</v>
      </c>
      <c r="E110" s="2">
        <v>11.85</v>
      </c>
      <c r="F110" s="2">
        <v>2.7</v>
      </c>
      <c r="G110" s="2">
        <v>2.5</v>
      </c>
      <c r="H110" s="2">
        <v>10.8</v>
      </c>
      <c r="I110" s="2">
        <v>79</v>
      </c>
      <c r="J110" s="49"/>
      <c r="K110" s="2">
        <v>121</v>
      </c>
      <c r="L110" s="2">
        <v>15</v>
      </c>
      <c r="M110" s="2">
        <v>94</v>
      </c>
      <c r="N110" s="2">
        <v>0.1</v>
      </c>
      <c r="O110" s="2">
        <v>20</v>
      </c>
      <c r="P110" s="2">
        <v>4.4999999999999998E-2</v>
      </c>
      <c r="Q110" s="2">
        <v>0.1</v>
      </c>
      <c r="R110" s="2">
        <v>1.35</v>
      </c>
    </row>
    <row r="111" spans="1:18" ht="18" customHeight="1">
      <c r="A111" s="82" t="s">
        <v>11</v>
      </c>
      <c r="B111" s="82"/>
      <c r="C111" s="82"/>
      <c r="D111" s="24">
        <v>1075</v>
      </c>
      <c r="E111" s="24">
        <f t="shared" ref="E111:R111" si="10">SUM(E104:E110)</f>
        <v>130.74</v>
      </c>
      <c r="F111" s="13">
        <f t="shared" si="10"/>
        <v>45.220000000000013</v>
      </c>
      <c r="G111" s="13">
        <f t="shared" si="10"/>
        <v>40.115000000000002</v>
      </c>
      <c r="H111" s="13">
        <f t="shared" si="10"/>
        <v>151.79500000000002</v>
      </c>
      <c r="I111" s="13">
        <f t="shared" si="10"/>
        <v>1150.9450000000002</v>
      </c>
      <c r="J111" s="13">
        <f t="shared" si="10"/>
        <v>0</v>
      </c>
      <c r="K111" s="13">
        <f t="shared" si="10"/>
        <v>334.40750000000003</v>
      </c>
      <c r="L111" s="13">
        <f t="shared" si="10"/>
        <v>143.42500000000001</v>
      </c>
      <c r="M111" s="13">
        <f t="shared" si="10"/>
        <v>450.52499999999992</v>
      </c>
      <c r="N111" s="13">
        <f t="shared" si="10"/>
        <v>7.5749999999999993</v>
      </c>
      <c r="O111" s="13">
        <f t="shared" si="10"/>
        <v>21</v>
      </c>
      <c r="P111" s="13">
        <f t="shared" si="10"/>
        <v>12.334999999999999</v>
      </c>
      <c r="Q111" s="13">
        <f t="shared" si="10"/>
        <v>8.4249999999999989</v>
      </c>
      <c r="R111" s="13">
        <f t="shared" si="10"/>
        <v>62.387500000000003</v>
      </c>
    </row>
    <row r="112" spans="1:18" ht="18" customHeight="1">
      <c r="A112" s="81" t="s">
        <v>17</v>
      </c>
      <c r="B112" s="81"/>
      <c r="C112" s="81"/>
      <c r="D112" s="81"/>
      <c r="E112" s="13">
        <f>E100+E111</f>
        <v>175.61</v>
      </c>
      <c r="F112" s="13">
        <f>F100+F111</f>
        <v>63.55857142857144</v>
      </c>
      <c r="G112" s="13">
        <f>G100+G111</f>
        <v>60.517380952380954</v>
      </c>
      <c r="H112" s="13">
        <f>H100+H111</f>
        <v>246.08976190476193</v>
      </c>
      <c r="I112" s="13">
        <f>I100+I111</f>
        <v>1785.3192857142858</v>
      </c>
      <c r="J112" s="49"/>
      <c r="K112" s="13">
        <f t="shared" ref="K112:R112" si="11">K100+K111</f>
        <v>905.01464285714292</v>
      </c>
      <c r="L112" s="13">
        <f t="shared" si="11"/>
        <v>431.71547619047618</v>
      </c>
      <c r="M112" s="13">
        <f t="shared" si="11"/>
        <v>1197.1059523809522</v>
      </c>
      <c r="N112" s="13">
        <f t="shared" si="11"/>
        <v>46.740714285714276</v>
      </c>
      <c r="O112" s="13">
        <f t="shared" si="11"/>
        <v>73.047619047619051</v>
      </c>
      <c r="P112" s="13">
        <f t="shared" si="11"/>
        <v>13.654999999999999</v>
      </c>
      <c r="Q112" s="13">
        <f t="shared" si="11"/>
        <v>12.225</v>
      </c>
      <c r="R112" s="13">
        <f t="shared" si="11"/>
        <v>70.682261904761901</v>
      </c>
    </row>
    <row r="113" spans="1:18">
      <c r="A113" s="16"/>
      <c r="B113" s="16"/>
      <c r="C113" s="16"/>
      <c r="D113" s="16"/>
      <c r="E113" s="18"/>
      <c r="F113" s="18"/>
      <c r="G113" s="18"/>
      <c r="H113" s="18"/>
      <c r="I113" s="18"/>
      <c r="J113" s="20"/>
      <c r="K113" s="18"/>
      <c r="L113" s="17"/>
      <c r="M113" s="18"/>
      <c r="N113" s="21"/>
      <c r="O113" s="18"/>
      <c r="P113" s="17"/>
      <c r="Q113" s="19"/>
      <c r="R113" s="19"/>
    </row>
    <row r="114" spans="1:18">
      <c r="A114" s="16"/>
      <c r="B114" s="16"/>
      <c r="C114" s="16"/>
      <c r="D114" s="16"/>
      <c r="E114" s="18"/>
      <c r="F114" s="18"/>
      <c r="G114" s="18"/>
      <c r="H114" s="18"/>
      <c r="I114" s="18"/>
      <c r="J114" s="20"/>
      <c r="K114" s="18"/>
      <c r="L114" s="17"/>
      <c r="M114" s="18"/>
      <c r="N114" s="21"/>
      <c r="O114" s="18"/>
      <c r="P114" s="17"/>
      <c r="Q114" s="19"/>
      <c r="R114" s="19"/>
    </row>
    <row r="115" spans="1:18">
      <c r="A115" s="16"/>
      <c r="B115" s="16"/>
      <c r="C115" s="16"/>
      <c r="D115" s="16"/>
      <c r="E115" s="18"/>
      <c r="F115" s="18"/>
      <c r="G115" s="18"/>
      <c r="H115" s="18"/>
      <c r="I115" s="18"/>
      <c r="J115" s="20"/>
      <c r="K115" s="18"/>
      <c r="L115" s="17"/>
      <c r="M115" s="18"/>
      <c r="N115" s="21"/>
      <c r="O115" s="18"/>
      <c r="P115" s="17"/>
      <c r="Q115" s="19"/>
      <c r="R115" s="19"/>
    </row>
    <row r="116" spans="1:18">
      <c r="A116" s="16"/>
      <c r="B116" s="16"/>
      <c r="C116" s="16"/>
      <c r="D116" s="16"/>
      <c r="E116" s="18"/>
      <c r="F116" s="18"/>
      <c r="G116" s="18"/>
      <c r="H116" s="18"/>
      <c r="I116" s="18"/>
      <c r="J116" s="20"/>
      <c r="K116" s="18"/>
      <c r="L116" s="17"/>
      <c r="M116" s="18"/>
      <c r="N116" s="21"/>
      <c r="O116" s="18"/>
      <c r="P116" s="17"/>
      <c r="Q116" s="19"/>
      <c r="R116" s="19"/>
    </row>
    <row r="117" spans="1:18">
      <c r="A117" s="16"/>
      <c r="B117" s="16"/>
      <c r="C117" s="16"/>
      <c r="D117" s="16"/>
      <c r="E117" s="18"/>
      <c r="F117" s="18"/>
      <c r="G117" s="18"/>
      <c r="H117" s="18"/>
      <c r="I117" s="18"/>
      <c r="J117" s="20"/>
      <c r="K117" s="18"/>
      <c r="L117" s="17"/>
      <c r="M117" s="18"/>
      <c r="N117" s="21"/>
      <c r="O117" s="18"/>
      <c r="P117" s="17"/>
      <c r="Q117" s="19"/>
      <c r="R117" s="19"/>
    </row>
    <row r="118" spans="1:18">
      <c r="A118" s="16"/>
      <c r="B118" s="16"/>
      <c r="C118" s="16"/>
      <c r="D118" s="16"/>
      <c r="E118" s="18"/>
      <c r="F118" s="18"/>
      <c r="G118" s="18"/>
      <c r="H118" s="18"/>
      <c r="I118" s="18"/>
      <c r="J118" s="20"/>
      <c r="K118" s="18"/>
      <c r="L118" s="17"/>
      <c r="M118" s="18"/>
      <c r="N118" s="21"/>
      <c r="O118" s="18"/>
      <c r="P118" s="17"/>
      <c r="Q118" s="19"/>
      <c r="R118" s="19"/>
    </row>
    <row r="119" spans="1:18" ht="18.75" customHeight="1">
      <c r="A119" s="89" t="s">
        <v>44</v>
      </c>
      <c r="B119" s="90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1"/>
    </row>
    <row r="120" spans="1:18" ht="18.75" customHeight="1">
      <c r="A120" s="80" t="s">
        <v>4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</row>
    <row r="121" spans="1:18" ht="18" customHeight="1">
      <c r="A121" s="84" t="s">
        <v>29</v>
      </c>
      <c r="B121" s="83" t="s">
        <v>0</v>
      </c>
      <c r="C121" s="84" t="s">
        <v>38</v>
      </c>
      <c r="D121" s="83" t="s">
        <v>85</v>
      </c>
      <c r="E121" s="83" t="s">
        <v>2</v>
      </c>
      <c r="F121" s="85" t="s">
        <v>69</v>
      </c>
      <c r="G121" s="85" t="s">
        <v>70</v>
      </c>
      <c r="H121" s="85" t="s">
        <v>71</v>
      </c>
      <c r="I121" s="83" t="s">
        <v>3</v>
      </c>
      <c r="J121" s="15"/>
      <c r="K121" s="8" t="s">
        <v>72</v>
      </c>
      <c r="L121" s="8"/>
      <c r="M121" s="8"/>
      <c r="N121" s="8"/>
      <c r="O121" s="83" t="s">
        <v>73</v>
      </c>
      <c r="P121" s="83"/>
      <c r="Q121" s="83"/>
      <c r="R121" s="83"/>
    </row>
    <row r="122" spans="1:18" ht="15" customHeight="1">
      <c r="A122" s="84"/>
      <c r="B122" s="83"/>
      <c r="C122" s="84"/>
      <c r="D122" s="83"/>
      <c r="E122" s="83"/>
      <c r="F122" s="86"/>
      <c r="G122" s="86"/>
      <c r="H122" s="86"/>
      <c r="I122" s="83"/>
      <c r="J122" s="15"/>
      <c r="K122" s="30" t="s">
        <v>30</v>
      </c>
      <c r="L122" s="24" t="s">
        <v>31</v>
      </c>
      <c r="M122" s="24" t="s">
        <v>32</v>
      </c>
      <c r="N122" s="24" t="s">
        <v>33</v>
      </c>
      <c r="O122" s="24" t="s">
        <v>34</v>
      </c>
      <c r="P122" s="24" t="s">
        <v>79</v>
      </c>
      <c r="Q122" s="24" t="s">
        <v>36</v>
      </c>
      <c r="R122" s="24" t="s">
        <v>37</v>
      </c>
    </row>
    <row r="123" spans="1:18" ht="27.75" customHeight="1">
      <c r="A123" s="28">
        <v>174</v>
      </c>
      <c r="B123" s="1" t="s">
        <v>7</v>
      </c>
      <c r="C123" s="5" t="s">
        <v>122</v>
      </c>
      <c r="D123" s="32" t="s">
        <v>94</v>
      </c>
      <c r="E123" s="1">
        <v>29.05</v>
      </c>
      <c r="F123" s="1">
        <v>6.07</v>
      </c>
      <c r="G123" s="1">
        <v>12.76</v>
      </c>
      <c r="H123" s="2">
        <v>39.79</v>
      </c>
      <c r="I123" s="2">
        <v>298.81</v>
      </c>
      <c r="J123" s="49"/>
      <c r="K123" s="2">
        <v>154.87</v>
      </c>
      <c r="L123" s="2">
        <v>35.86</v>
      </c>
      <c r="M123" s="2">
        <v>164.45</v>
      </c>
      <c r="N123" s="2">
        <v>0.56000000000000005</v>
      </c>
      <c r="O123" s="2">
        <v>7.0000000000000007E-2</v>
      </c>
      <c r="P123" s="2">
        <v>7.0000000000000007E-2</v>
      </c>
      <c r="Q123" s="2">
        <v>0.69</v>
      </c>
      <c r="R123" s="2">
        <v>1.39</v>
      </c>
    </row>
    <row r="124" spans="1:18" ht="18" customHeight="1">
      <c r="A124" s="28"/>
      <c r="B124" s="1" t="s">
        <v>8</v>
      </c>
      <c r="C124" s="27" t="s">
        <v>84</v>
      </c>
      <c r="D124" s="1">
        <v>40</v>
      </c>
      <c r="E124" s="2">
        <v>2.8</v>
      </c>
      <c r="F124" s="2">
        <v>2.4</v>
      </c>
      <c r="G124" s="2">
        <v>0.4</v>
      </c>
      <c r="H124" s="2">
        <v>12.6</v>
      </c>
      <c r="I124" s="2">
        <v>63.6</v>
      </c>
      <c r="J124" s="49"/>
      <c r="K124" s="2">
        <v>6.9</v>
      </c>
      <c r="L124" s="2">
        <v>9.9</v>
      </c>
      <c r="M124" s="2">
        <v>26.1</v>
      </c>
      <c r="N124" s="2">
        <v>0.6</v>
      </c>
      <c r="O124" s="2">
        <v>0</v>
      </c>
      <c r="P124" s="2">
        <v>0.1</v>
      </c>
      <c r="Q124" s="2">
        <v>0.5</v>
      </c>
      <c r="R124" s="2">
        <v>0</v>
      </c>
    </row>
    <row r="125" spans="1:18" ht="18" customHeight="1">
      <c r="A125" s="28">
        <v>15</v>
      </c>
      <c r="B125" s="1" t="s">
        <v>9</v>
      </c>
      <c r="C125" s="31" t="s">
        <v>114</v>
      </c>
      <c r="D125" s="1">
        <v>10</v>
      </c>
      <c r="E125" s="2">
        <v>9.07</v>
      </c>
      <c r="F125" s="2">
        <v>2.3199999999999998</v>
      </c>
      <c r="G125" s="2">
        <v>2.95</v>
      </c>
      <c r="H125" s="2">
        <v>0</v>
      </c>
      <c r="I125" s="2">
        <v>35.83</v>
      </c>
      <c r="J125" s="49"/>
      <c r="K125" s="2">
        <v>88</v>
      </c>
      <c r="L125" s="2">
        <v>3.5</v>
      </c>
      <c r="M125" s="2">
        <v>50</v>
      </c>
      <c r="N125" s="2">
        <v>0.1</v>
      </c>
      <c r="O125" s="2">
        <v>26</v>
      </c>
      <c r="P125" s="2">
        <v>0</v>
      </c>
      <c r="Q125" s="2">
        <v>0</v>
      </c>
      <c r="R125" s="2">
        <v>0</v>
      </c>
    </row>
    <row r="126" spans="1:18" ht="18" customHeight="1">
      <c r="A126" s="28">
        <v>209</v>
      </c>
      <c r="B126" s="1" t="s">
        <v>13</v>
      </c>
      <c r="C126" s="27" t="s">
        <v>90</v>
      </c>
      <c r="D126" s="1">
        <v>40</v>
      </c>
      <c r="E126" s="2">
        <v>11</v>
      </c>
      <c r="F126" s="2">
        <v>5.08</v>
      </c>
      <c r="G126" s="2">
        <v>4.5999999999999996</v>
      </c>
      <c r="H126" s="2">
        <v>0.28000000000000003</v>
      </c>
      <c r="I126" s="2">
        <v>62.84</v>
      </c>
      <c r="J126" s="49"/>
      <c r="K126" s="2">
        <v>22</v>
      </c>
      <c r="L126" s="2">
        <v>4.8</v>
      </c>
      <c r="M126" s="2">
        <v>76.8</v>
      </c>
      <c r="N126" s="2">
        <v>1</v>
      </c>
      <c r="O126" s="2">
        <v>100</v>
      </c>
      <c r="P126" s="2">
        <v>0.03</v>
      </c>
      <c r="Q126" s="2">
        <v>0</v>
      </c>
      <c r="R126" s="2">
        <v>0</v>
      </c>
    </row>
    <row r="127" spans="1:18" ht="18" customHeight="1">
      <c r="A127" s="1">
        <v>382</v>
      </c>
      <c r="B127" s="1" t="s">
        <v>14</v>
      </c>
      <c r="C127" s="27" t="s">
        <v>10</v>
      </c>
      <c r="D127" s="1">
        <v>200</v>
      </c>
      <c r="E127" s="2">
        <v>12.46</v>
      </c>
      <c r="F127" s="2">
        <v>3.8</v>
      </c>
      <c r="G127" s="2">
        <v>3.2</v>
      </c>
      <c r="H127" s="2">
        <v>26.7</v>
      </c>
      <c r="I127" s="2">
        <v>150.80000000000001</v>
      </c>
      <c r="J127" s="49"/>
      <c r="K127" s="2">
        <v>179.4</v>
      </c>
      <c r="L127" s="2">
        <v>26.1</v>
      </c>
      <c r="M127" s="2">
        <v>179</v>
      </c>
      <c r="N127" s="2">
        <v>0.9</v>
      </c>
      <c r="O127" s="2">
        <v>0</v>
      </c>
      <c r="P127" s="2">
        <v>11.1</v>
      </c>
      <c r="Q127" s="2">
        <v>0.2</v>
      </c>
      <c r="R127" s="2">
        <v>1.9</v>
      </c>
    </row>
    <row r="128" spans="1:18" ht="18" customHeight="1">
      <c r="A128" s="82" t="s">
        <v>11</v>
      </c>
      <c r="B128" s="82"/>
      <c r="C128" s="82"/>
      <c r="D128" s="24">
        <v>550</v>
      </c>
      <c r="E128" s="13">
        <f>SUM(E123:E127)</f>
        <v>64.38</v>
      </c>
      <c r="F128" s="13">
        <f>SUM(F122:F127)</f>
        <v>19.670000000000002</v>
      </c>
      <c r="G128" s="13">
        <f>SUM(G122:G127)</f>
        <v>23.91</v>
      </c>
      <c r="H128" s="13">
        <f>SUM(H122:H127)</f>
        <v>79.37</v>
      </c>
      <c r="I128" s="13">
        <f>SUM(I122:I127)</f>
        <v>611.88000000000011</v>
      </c>
      <c r="J128" s="49"/>
      <c r="K128" s="13">
        <f t="shared" ref="K128:R128" si="12">SUM(K123:K127)</f>
        <v>451.16999999999996</v>
      </c>
      <c r="L128" s="13">
        <f t="shared" si="12"/>
        <v>80.16</v>
      </c>
      <c r="M128" s="13">
        <f t="shared" si="12"/>
        <v>496.34999999999997</v>
      </c>
      <c r="N128" s="13">
        <f t="shared" si="12"/>
        <v>3.16</v>
      </c>
      <c r="O128" s="13">
        <f t="shared" si="12"/>
        <v>126.07</v>
      </c>
      <c r="P128" s="13">
        <f t="shared" si="12"/>
        <v>11.299999999999999</v>
      </c>
      <c r="Q128" s="13">
        <f t="shared" si="12"/>
        <v>1.39</v>
      </c>
      <c r="R128" s="13">
        <f t="shared" si="12"/>
        <v>3.29</v>
      </c>
    </row>
    <row r="129" spans="1:18" ht="18" customHeight="1">
      <c r="A129" s="80" t="s">
        <v>12</v>
      </c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</row>
    <row r="130" spans="1:18" ht="18" customHeight="1">
      <c r="A130" s="84" t="s">
        <v>29</v>
      </c>
      <c r="B130" s="83" t="s">
        <v>0</v>
      </c>
      <c r="C130" s="84" t="s">
        <v>38</v>
      </c>
      <c r="D130" s="83" t="s">
        <v>85</v>
      </c>
      <c r="E130" s="83" t="s">
        <v>2</v>
      </c>
      <c r="F130" s="85" t="s">
        <v>69</v>
      </c>
      <c r="G130" s="85" t="s">
        <v>70</v>
      </c>
      <c r="H130" s="85" t="s">
        <v>71</v>
      </c>
      <c r="I130" s="83" t="s">
        <v>3</v>
      </c>
      <c r="J130" s="15"/>
      <c r="K130" s="8" t="s">
        <v>72</v>
      </c>
      <c r="L130" s="8"/>
      <c r="M130" s="8"/>
      <c r="N130" s="8"/>
      <c r="O130" s="83" t="s">
        <v>73</v>
      </c>
      <c r="P130" s="83"/>
      <c r="Q130" s="83"/>
      <c r="R130" s="83"/>
    </row>
    <row r="131" spans="1:18" ht="15" customHeight="1">
      <c r="A131" s="84"/>
      <c r="B131" s="83"/>
      <c r="C131" s="84"/>
      <c r="D131" s="83"/>
      <c r="E131" s="83"/>
      <c r="F131" s="86"/>
      <c r="G131" s="86"/>
      <c r="H131" s="86"/>
      <c r="I131" s="83"/>
      <c r="J131" s="15"/>
      <c r="K131" s="30" t="s">
        <v>30</v>
      </c>
      <c r="L131" s="24" t="s">
        <v>31</v>
      </c>
      <c r="M131" s="24" t="s">
        <v>32</v>
      </c>
      <c r="N131" s="24" t="s">
        <v>33</v>
      </c>
      <c r="O131" s="24" t="s">
        <v>34</v>
      </c>
      <c r="P131" s="24" t="s">
        <v>79</v>
      </c>
      <c r="Q131" s="24" t="s">
        <v>36</v>
      </c>
      <c r="R131" s="24" t="s">
        <v>37</v>
      </c>
    </row>
    <row r="132" spans="1:18" ht="18" customHeight="1">
      <c r="A132" s="28">
        <v>71</v>
      </c>
      <c r="B132" s="1">
        <v>1</v>
      </c>
      <c r="C132" s="5" t="s">
        <v>91</v>
      </c>
      <c r="D132" s="1">
        <v>100</v>
      </c>
      <c r="E132" s="1">
        <v>27.14</v>
      </c>
      <c r="F132" s="72">
        <v>1.2</v>
      </c>
      <c r="G132" s="72">
        <v>0.2</v>
      </c>
      <c r="H132" s="72">
        <v>4.5999999999999996</v>
      </c>
      <c r="I132" s="2">
        <v>26</v>
      </c>
      <c r="J132" s="49"/>
      <c r="K132" s="2">
        <v>14</v>
      </c>
      <c r="L132" s="2">
        <v>20</v>
      </c>
      <c r="M132" s="2">
        <v>0</v>
      </c>
      <c r="N132" s="2">
        <v>0.8</v>
      </c>
      <c r="O132" s="2">
        <v>0</v>
      </c>
      <c r="P132" s="2">
        <v>0</v>
      </c>
      <c r="Q132" s="2">
        <v>0</v>
      </c>
      <c r="R132" s="2">
        <v>17.5</v>
      </c>
    </row>
    <row r="133" spans="1:18" ht="18" customHeight="1">
      <c r="A133" s="1">
        <v>108</v>
      </c>
      <c r="B133" s="1" t="s">
        <v>8</v>
      </c>
      <c r="C133" s="4" t="s">
        <v>22</v>
      </c>
      <c r="D133" s="1">
        <v>250</v>
      </c>
      <c r="E133" s="2">
        <v>9.6300000000000008</v>
      </c>
      <c r="F133" s="2">
        <v>5.2</v>
      </c>
      <c r="G133" s="2">
        <v>6.3</v>
      </c>
      <c r="H133" s="2">
        <v>29</v>
      </c>
      <c r="I133" s="2">
        <v>193.5</v>
      </c>
      <c r="J133" s="49"/>
      <c r="K133" s="2">
        <v>86</v>
      </c>
      <c r="L133" s="2">
        <v>7.5</v>
      </c>
      <c r="M133" s="2">
        <v>14.7</v>
      </c>
      <c r="N133" s="2">
        <v>0.8</v>
      </c>
      <c r="O133" s="2">
        <v>1.2</v>
      </c>
      <c r="P133" s="2">
        <v>2.4</v>
      </c>
      <c r="Q133" s="2">
        <v>0.2</v>
      </c>
      <c r="R133" s="2">
        <v>1.9</v>
      </c>
    </row>
    <row r="134" spans="1:18" ht="18" customHeight="1">
      <c r="A134" s="1">
        <v>234</v>
      </c>
      <c r="B134" s="1" t="s">
        <v>9</v>
      </c>
      <c r="C134" s="45" t="s">
        <v>59</v>
      </c>
      <c r="D134" s="1">
        <v>105</v>
      </c>
      <c r="E134" s="2">
        <v>32.93</v>
      </c>
      <c r="F134" s="2">
        <v>14.111111111111111</v>
      </c>
      <c r="G134" s="2">
        <v>18</v>
      </c>
      <c r="H134" s="2">
        <v>11.222222222222221</v>
      </c>
      <c r="I134" s="2">
        <v>262.88888888888891</v>
      </c>
      <c r="J134" s="49"/>
      <c r="K134" s="2">
        <v>140.11111111111111</v>
      </c>
      <c r="L134" s="2">
        <v>0</v>
      </c>
      <c r="M134" s="2">
        <v>0</v>
      </c>
      <c r="N134" s="2">
        <v>1</v>
      </c>
      <c r="O134" s="2">
        <v>0</v>
      </c>
      <c r="P134" s="2">
        <v>0.22222222222222221</v>
      </c>
      <c r="Q134" s="2">
        <v>0</v>
      </c>
      <c r="R134" s="2">
        <v>6.7777777777777777</v>
      </c>
    </row>
    <row r="135" spans="1:18" ht="18" customHeight="1">
      <c r="A135" s="1">
        <v>142</v>
      </c>
      <c r="B135" s="1" t="s">
        <v>13</v>
      </c>
      <c r="C135" s="45" t="s">
        <v>75</v>
      </c>
      <c r="D135" s="1" t="s">
        <v>123</v>
      </c>
      <c r="E135" s="2">
        <v>15.45</v>
      </c>
      <c r="F135" s="2">
        <v>3.6</v>
      </c>
      <c r="G135" s="2">
        <v>9.48</v>
      </c>
      <c r="H135" s="2">
        <v>35.76</v>
      </c>
      <c r="I135" s="2">
        <v>243.36</v>
      </c>
      <c r="J135" s="49"/>
      <c r="K135" s="2">
        <v>35.76</v>
      </c>
      <c r="L135" s="2">
        <v>0</v>
      </c>
      <c r="M135" s="2">
        <v>0</v>
      </c>
      <c r="N135" s="2">
        <v>1.92</v>
      </c>
      <c r="O135" s="2">
        <v>0</v>
      </c>
      <c r="P135" s="2">
        <v>0.48</v>
      </c>
      <c r="Q135" s="2">
        <v>0</v>
      </c>
      <c r="R135" s="2">
        <v>43.08</v>
      </c>
    </row>
    <row r="136" spans="1:18" ht="18" customHeight="1">
      <c r="A136" s="1">
        <v>883</v>
      </c>
      <c r="B136" s="1" t="s">
        <v>14</v>
      </c>
      <c r="C136" s="45" t="s">
        <v>105</v>
      </c>
      <c r="D136" s="1">
        <v>200</v>
      </c>
      <c r="E136" s="2">
        <v>8.2899999999999991</v>
      </c>
      <c r="F136" s="2">
        <v>0</v>
      </c>
      <c r="G136" s="2">
        <v>0</v>
      </c>
      <c r="H136" s="2">
        <v>7.2</v>
      </c>
      <c r="I136" s="2">
        <v>36</v>
      </c>
      <c r="J136" s="49"/>
      <c r="K136" s="2">
        <v>29.5</v>
      </c>
      <c r="L136" s="2">
        <v>1</v>
      </c>
      <c r="M136" s="2">
        <v>0</v>
      </c>
      <c r="N136" s="2">
        <v>0</v>
      </c>
      <c r="O136" s="2">
        <v>0</v>
      </c>
      <c r="P136" s="2">
        <v>0.04</v>
      </c>
      <c r="Q136" s="2">
        <v>0</v>
      </c>
      <c r="R136" s="2">
        <v>15</v>
      </c>
    </row>
    <row r="137" spans="1:18" ht="18" customHeight="1">
      <c r="A137" s="1"/>
      <c r="B137" s="1" t="s">
        <v>15</v>
      </c>
      <c r="C137" s="4" t="s">
        <v>99</v>
      </c>
      <c r="D137" s="32">
        <v>40</v>
      </c>
      <c r="E137" s="2">
        <v>2.8</v>
      </c>
      <c r="F137" s="2">
        <v>2.2400000000000002</v>
      </c>
      <c r="G137" s="2">
        <v>0.44000000000000006</v>
      </c>
      <c r="H137" s="2">
        <v>19.759999999999998</v>
      </c>
      <c r="I137" s="2">
        <v>91.960000000000008</v>
      </c>
      <c r="J137" s="49"/>
      <c r="K137" s="2">
        <v>9.1999999999999993</v>
      </c>
      <c r="L137" s="2">
        <v>10</v>
      </c>
      <c r="M137" s="2">
        <v>42.4</v>
      </c>
      <c r="N137" s="2">
        <v>1.24</v>
      </c>
      <c r="O137" s="2">
        <v>0</v>
      </c>
      <c r="P137" s="2">
        <v>0.04</v>
      </c>
      <c r="Q137" s="2">
        <v>0</v>
      </c>
      <c r="R137" s="2">
        <v>0</v>
      </c>
    </row>
    <row r="138" spans="1:18" ht="18" customHeight="1">
      <c r="A138" s="1"/>
      <c r="B138" s="1" t="s">
        <v>81</v>
      </c>
      <c r="C138" s="27" t="s">
        <v>83</v>
      </c>
      <c r="D138" s="32">
        <v>70</v>
      </c>
      <c r="E138" s="35">
        <v>4.9000000000000004</v>
      </c>
      <c r="F138" s="2">
        <v>5.53</v>
      </c>
      <c r="G138" s="2">
        <v>0.7</v>
      </c>
      <c r="H138" s="2">
        <v>33.81</v>
      </c>
      <c r="I138" s="2">
        <v>163.66</v>
      </c>
      <c r="J138" s="49"/>
      <c r="K138" s="2">
        <v>16.100000000000001</v>
      </c>
      <c r="L138" s="2">
        <v>23.1</v>
      </c>
      <c r="M138" s="2">
        <v>60.9</v>
      </c>
      <c r="N138" s="2">
        <v>0.77</v>
      </c>
      <c r="O138" s="2">
        <v>0</v>
      </c>
      <c r="P138" s="2">
        <v>7.0000000000000007E-2</v>
      </c>
      <c r="Q138" s="2">
        <v>0</v>
      </c>
      <c r="R138" s="2">
        <v>0</v>
      </c>
    </row>
    <row r="139" spans="1:18" ht="18" customHeight="1">
      <c r="A139" s="1">
        <v>386</v>
      </c>
      <c r="B139" s="1" t="s">
        <v>95</v>
      </c>
      <c r="C139" s="27" t="s">
        <v>96</v>
      </c>
      <c r="D139" s="1">
        <v>100</v>
      </c>
      <c r="E139" s="2">
        <v>11.85</v>
      </c>
      <c r="F139" s="2">
        <v>3</v>
      </c>
      <c r="G139" s="2">
        <v>1</v>
      </c>
      <c r="H139" s="2">
        <v>4.2</v>
      </c>
      <c r="I139" s="2">
        <v>40</v>
      </c>
      <c r="J139" s="49"/>
      <c r="K139" s="2">
        <v>124</v>
      </c>
      <c r="L139" s="2">
        <v>14</v>
      </c>
      <c r="M139" s="2">
        <v>92</v>
      </c>
      <c r="N139" s="2">
        <v>0.1</v>
      </c>
      <c r="O139" s="2">
        <v>0</v>
      </c>
      <c r="P139" s="2">
        <v>0.03</v>
      </c>
      <c r="Q139" s="2">
        <v>0.1</v>
      </c>
      <c r="R139" s="2">
        <v>0.3</v>
      </c>
    </row>
    <row r="140" spans="1:18" ht="18" customHeight="1">
      <c r="A140" s="82" t="s">
        <v>11</v>
      </c>
      <c r="B140" s="82"/>
      <c r="C140" s="82"/>
      <c r="D140" s="24">
        <v>1045</v>
      </c>
      <c r="E140" s="13">
        <f>SUM(E132:E139)</f>
        <v>112.99</v>
      </c>
      <c r="F140" s="13">
        <f t="shared" ref="F140:R140" si="13">SUM(F132:F139)</f>
        <v>34.881111111111117</v>
      </c>
      <c r="G140" s="13">
        <f t="shared" si="13"/>
        <v>36.120000000000005</v>
      </c>
      <c r="H140" s="13">
        <f t="shared" si="13"/>
        <v>145.55222222222221</v>
      </c>
      <c r="I140" s="13">
        <f t="shared" si="13"/>
        <v>1057.3688888888889</v>
      </c>
      <c r="J140" s="13">
        <f t="shared" si="13"/>
        <v>0</v>
      </c>
      <c r="K140" s="13">
        <f t="shared" si="13"/>
        <v>454.67111111111114</v>
      </c>
      <c r="L140" s="13">
        <f t="shared" si="13"/>
        <v>75.599999999999994</v>
      </c>
      <c r="M140" s="13">
        <f t="shared" si="13"/>
        <v>210</v>
      </c>
      <c r="N140" s="13">
        <f t="shared" si="13"/>
        <v>6.629999999999999</v>
      </c>
      <c r="O140" s="13">
        <f t="shared" si="13"/>
        <v>1.2</v>
      </c>
      <c r="P140" s="13">
        <f t="shared" si="13"/>
        <v>3.2822222222222219</v>
      </c>
      <c r="Q140" s="13">
        <f t="shared" si="13"/>
        <v>0.30000000000000004</v>
      </c>
      <c r="R140" s="13">
        <f t="shared" si="13"/>
        <v>84.557777777777773</v>
      </c>
    </row>
    <row r="141" spans="1:18" ht="18" customHeight="1">
      <c r="A141" s="81" t="s">
        <v>17</v>
      </c>
      <c r="B141" s="81"/>
      <c r="C141" s="81"/>
      <c r="D141" s="81"/>
      <c r="E141" s="13">
        <f>E128+E140</f>
        <v>177.37</v>
      </c>
      <c r="F141" s="13">
        <f>F128+F140</f>
        <v>54.551111111111119</v>
      </c>
      <c r="G141" s="13">
        <f>G128+G140</f>
        <v>60.03</v>
      </c>
      <c r="H141" s="13">
        <f>H128+H140</f>
        <v>224.92222222222222</v>
      </c>
      <c r="I141" s="13">
        <f>I128+I140</f>
        <v>1669.248888888889</v>
      </c>
      <c r="J141" s="49"/>
      <c r="K141" s="13">
        <f t="shared" ref="K141:R141" si="14">K128+K140</f>
        <v>905.8411111111111</v>
      </c>
      <c r="L141" s="13">
        <f t="shared" si="14"/>
        <v>155.76</v>
      </c>
      <c r="M141" s="13">
        <f t="shared" si="14"/>
        <v>706.34999999999991</v>
      </c>
      <c r="N141" s="13">
        <f t="shared" si="14"/>
        <v>9.7899999999999991</v>
      </c>
      <c r="O141" s="13">
        <f t="shared" si="14"/>
        <v>127.27</v>
      </c>
      <c r="P141" s="13">
        <f t="shared" si="14"/>
        <v>14.582222222222221</v>
      </c>
      <c r="Q141" s="13">
        <f t="shared" si="14"/>
        <v>1.69</v>
      </c>
      <c r="R141" s="13">
        <f t="shared" si="14"/>
        <v>87.847777777777779</v>
      </c>
    </row>
    <row r="142" spans="1:18">
      <c r="A142" s="16"/>
      <c r="B142" s="16"/>
      <c r="C142" s="16"/>
      <c r="D142" s="16"/>
      <c r="E142" s="18"/>
      <c r="F142" s="18"/>
      <c r="G142" s="18"/>
      <c r="H142" s="18"/>
      <c r="I142" s="18"/>
      <c r="J142" s="20"/>
      <c r="K142" s="18"/>
      <c r="L142" s="17"/>
      <c r="M142" s="18"/>
      <c r="N142" s="18"/>
      <c r="O142" s="18"/>
      <c r="P142" s="18"/>
      <c r="Q142" s="17"/>
      <c r="R142" s="18"/>
    </row>
    <row r="143" spans="1:18">
      <c r="A143" s="16"/>
      <c r="B143" s="16"/>
      <c r="C143" s="16"/>
      <c r="D143" s="16"/>
      <c r="E143" s="18"/>
      <c r="F143" s="18"/>
      <c r="G143" s="18"/>
      <c r="H143" s="18"/>
      <c r="I143" s="18"/>
      <c r="J143" s="20"/>
      <c r="K143" s="18"/>
      <c r="L143" s="17"/>
      <c r="M143" s="18"/>
      <c r="N143" s="18"/>
      <c r="O143" s="18"/>
      <c r="P143" s="18"/>
      <c r="Q143" s="17"/>
      <c r="R143" s="18"/>
    </row>
    <row r="144" spans="1:18">
      <c r="A144" s="16"/>
      <c r="B144" s="16"/>
      <c r="C144" s="16"/>
      <c r="D144" s="16"/>
      <c r="E144" s="18"/>
      <c r="F144" s="18"/>
      <c r="G144" s="18"/>
      <c r="H144" s="18"/>
      <c r="I144" s="18"/>
      <c r="J144" s="20"/>
      <c r="K144" s="18"/>
      <c r="L144" s="17"/>
      <c r="M144" s="18"/>
      <c r="N144" s="18"/>
      <c r="O144" s="18"/>
      <c r="P144" s="18"/>
      <c r="Q144" s="17"/>
      <c r="R144" s="18"/>
    </row>
    <row r="145" spans="1:18">
      <c r="A145" s="16"/>
      <c r="B145" s="16"/>
      <c r="C145" s="16"/>
      <c r="D145" s="16"/>
      <c r="E145" s="18"/>
      <c r="F145" s="18"/>
      <c r="G145" s="18"/>
      <c r="H145" s="18"/>
      <c r="I145" s="18"/>
      <c r="J145" s="20"/>
      <c r="K145" s="18"/>
      <c r="L145" s="17"/>
      <c r="M145" s="18"/>
      <c r="N145" s="18"/>
      <c r="O145" s="18"/>
      <c r="P145" s="18"/>
      <c r="Q145" s="17"/>
      <c r="R145" s="18"/>
    </row>
    <row r="146" spans="1:18">
      <c r="A146" s="16"/>
      <c r="B146" s="16"/>
      <c r="C146" s="16"/>
      <c r="D146" s="16"/>
      <c r="E146" s="18"/>
      <c r="F146" s="18"/>
      <c r="G146" s="18"/>
      <c r="H146" s="18"/>
      <c r="I146" s="18"/>
      <c r="J146" s="20"/>
      <c r="K146" s="18"/>
      <c r="L146" s="17"/>
      <c r="M146" s="18"/>
      <c r="N146" s="18"/>
      <c r="O146" s="18"/>
      <c r="P146" s="18"/>
      <c r="Q146" s="17"/>
      <c r="R146" s="18"/>
    </row>
    <row r="147" spans="1:18">
      <c r="A147" s="16"/>
      <c r="B147" s="16"/>
      <c r="C147" s="16"/>
      <c r="D147" s="16"/>
      <c r="E147" s="18"/>
      <c r="F147" s="18"/>
      <c r="G147" s="18"/>
      <c r="H147" s="18"/>
      <c r="I147" s="18"/>
      <c r="J147" s="20"/>
      <c r="K147" s="18"/>
      <c r="L147" s="17"/>
      <c r="M147" s="18"/>
      <c r="N147" s="18"/>
      <c r="O147" s="18"/>
      <c r="P147" s="18"/>
      <c r="Q147" s="17"/>
      <c r="R147" s="18"/>
    </row>
    <row r="148" spans="1:18">
      <c r="A148" s="16"/>
      <c r="B148" s="16"/>
      <c r="C148" s="16"/>
      <c r="D148" s="16"/>
      <c r="E148" s="18"/>
      <c r="F148" s="18"/>
      <c r="G148" s="18"/>
      <c r="H148" s="18"/>
      <c r="I148" s="18"/>
      <c r="J148" s="20"/>
      <c r="K148" s="18"/>
      <c r="L148" s="17"/>
      <c r="M148" s="18"/>
      <c r="N148" s="18"/>
      <c r="O148" s="18"/>
      <c r="P148" s="18"/>
      <c r="Q148" s="17"/>
      <c r="R148" s="18"/>
    </row>
    <row r="149" spans="1:18" ht="18" customHeight="1">
      <c r="A149" s="89" t="s">
        <v>45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1"/>
    </row>
    <row r="150" spans="1:18" ht="18.75" customHeight="1">
      <c r="A150" s="80" t="s">
        <v>4</v>
      </c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</row>
    <row r="151" spans="1:18" ht="18" customHeight="1">
      <c r="A151" s="84" t="s">
        <v>29</v>
      </c>
      <c r="B151" s="83" t="s">
        <v>0</v>
      </c>
      <c r="C151" s="84" t="s">
        <v>38</v>
      </c>
      <c r="D151" s="83" t="s">
        <v>85</v>
      </c>
      <c r="E151" s="83" t="s">
        <v>2</v>
      </c>
      <c r="F151" s="85" t="s">
        <v>69</v>
      </c>
      <c r="G151" s="85" t="s">
        <v>70</v>
      </c>
      <c r="H151" s="85" t="s">
        <v>71</v>
      </c>
      <c r="I151" s="83" t="s">
        <v>3</v>
      </c>
      <c r="J151" s="15"/>
      <c r="K151" s="8" t="s">
        <v>72</v>
      </c>
      <c r="L151" s="8"/>
      <c r="M151" s="8"/>
      <c r="N151" s="8"/>
      <c r="O151" s="83" t="s">
        <v>73</v>
      </c>
      <c r="P151" s="83"/>
      <c r="Q151" s="83"/>
      <c r="R151" s="83"/>
    </row>
    <row r="152" spans="1:18" ht="15" customHeight="1">
      <c r="A152" s="84"/>
      <c r="B152" s="83"/>
      <c r="C152" s="84"/>
      <c r="D152" s="83"/>
      <c r="E152" s="83"/>
      <c r="F152" s="86"/>
      <c r="G152" s="86"/>
      <c r="H152" s="86"/>
      <c r="I152" s="83"/>
      <c r="J152" s="15"/>
      <c r="K152" s="30" t="s">
        <v>30</v>
      </c>
      <c r="L152" s="24" t="s">
        <v>31</v>
      </c>
      <c r="M152" s="24" t="s">
        <v>32</v>
      </c>
      <c r="N152" s="24" t="s">
        <v>33</v>
      </c>
      <c r="O152" s="24" t="s">
        <v>34</v>
      </c>
      <c r="P152" s="24" t="s">
        <v>79</v>
      </c>
      <c r="Q152" s="24" t="s">
        <v>36</v>
      </c>
      <c r="R152" s="24" t="s">
        <v>37</v>
      </c>
    </row>
    <row r="153" spans="1:18" ht="19.899999999999999" customHeight="1">
      <c r="A153" s="56"/>
      <c r="B153" s="62">
        <v>1</v>
      </c>
      <c r="C153" s="61" t="s">
        <v>130</v>
      </c>
      <c r="D153" s="62">
        <v>220</v>
      </c>
      <c r="E153" s="70">
        <v>35.200000000000003</v>
      </c>
      <c r="F153" s="56">
        <v>0.86</v>
      </c>
      <c r="G153" s="56">
        <v>0.88</v>
      </c>
      <c r="H153" s="77">
        <v>21.6</v>
      </c>
      <c r="I153" s="70">
        <v>103.4</v>
      </c>
      <c r="J153" s="73"/>
      <c r="K153" s="35">
        <v>35.200000000000003</v>
      </c>
      <c r="L153" s="35">
        <v>19.8</v>
      </c>
      <c r="M153" s="35">
        <v>24.2</v>
      </c>
      <c r="N153" s="35">
        <v>4.8</v>
      </c>
      <c r="O153" s="35">
        <v>0</v>
      </c>
      <c r="P153" s="35">
        <v>0.03</v>
      </c>
      <c r="Q153" s="35">
        <v>0.67</v>
      </c>
      <c r="R153" s="35">
        <v>22</v>
      </c>
    </row>
    <row r="154" spans="1:18" ht="18" customHeight="1">
      <c r="A154" s="1">
        <v>219</v>
      </c>
      <c r="B154" s="1" t="s">
        <v>8</v>
      </c>
      <c r="C154" s="45" t="s">
        <v>55</v>
      </c>
      <c r="D154" s="32" t="s">
        <v>104</v>
      </c>
      <c r="E154" s="1">
        <v>53.83</v>
      </c>
      <c r="F154" s="2">
        <v>23.142857142857142</v>
      </c>
      <c r="G154" s="1">
        <v>19.221428571428572</v>
      </c>
      <c r="H154" s="2">
        <v>36.728571428571428</v>
      </c>
      <c r="I154" s="2">
        <v>413.57142857142856</v>
      </c>
      <c r="J154" s="49"/>
      <c r="K154" s="2">
        <v>301.5</v>
      </c>
      <c r="L154" s="2">
        <v>39.299999999999997</v>
      </c>
      <c r="M154" s="2">
        <v>336.17142857142858</v>
      </c>
      <c r="N154" s="2">
        <v>0.81428571428571428</v>
      </c>
      <c r="O154" s="2">
        <v>79.071428571428569</v>
      </c>
      <c r="P154" s="2">
        <v>4.2000000000000003E-2</v>
      </c>
      <c r="Q154" s="2">
        <v>0.31</v>
      </c>
      <c r="R154" s="2">
        <v>0.70714285714285718</v>
      </c>
    </row>
    <row r="155" spans="1:18" ht="18" customHeight="1">
      <c r="A155" s="1">
        <v>376</v>
      </c>
      <c r="B155" s="1" t="s">
        <v>9</v>
      </c>
      <c r="C155" s="31" t="s">
        <v>16</v>
      </c>
      <c r="D155" s="1">
        <v>200</v>
      </c>
      <c r="E155" s="2">
        <v>1.63</v>
      </c>
      <c r="F155" s="2">
        <v>0.1</v>
      </c>
      <c r="G155" s="2">
        <v>0</v>
      </c>
      <c r="H155" s="2">
        <v>15</v>
      </c>
      <c r="I155" s="2">
        <v>60</v>
      </c>
      <c r="J155" s="49"/>
      <c r="K155" s="2">
        <v>5</v>
      </c>
      <c r="L155" s="2">
        <v>0</v>
      </c>
      <c r="M155" s="2">
        <v>0</v>
      </c>
      <c r="N155" s="2">
        <v>2</v>
      </c>
      <c r="O155" s="2">
        <v>0</v>
      </c>
      <c r="P155" s="2">
        <v>0</v>
      </c>
      <c r="Q155" s="2">
        <v>0</v>
      </c>
      <c r="R155" s="2">
        <v>0</v>
      </c>
    </row>
    <row r="156" spans="1:18" ht="18" customHeight="1">
      <c r="A156" s="82" t="s">
        <v>11</v>
      </c>
      <c r="B156" s="82"/>
      <c r="C156" s="82"/>
      <c r="D156" s="24">
        <v>570</v>
      </c>
      <c r="E156" s="13">
        <f t="shared" ref="E156:R156" si="15">SUM(E153:E155)</f>
        <v>90.66</v>
      </c>
      <c r="F156" s="13">
        <f t="shared" si="15"/>
        <v>24.102857142857143</v>
      </c>
      <c r="G156" s="13">
        <f t="shared" si="15"/>
        <v>20.101428571428571</v>
      </c>
      <c r="H156" s="13">
        <f t="shared" si="15"/>
        <v>73.328571428571422</v>
      </c>
      <c r="I156" s="13">
        <f t="shared" si="15"/>
        <v>576.97142857142853</v>
      </c>
      <c r="J156" s="13">
        <f t="shared" si="15"/>
        <v>0</v>
      </c>
      <c r="K156" s="13">
        <f t="shared" si="15"/>
        <v>341.7</v>
      </c>
      <c r="L156" s="13">
        <f t="shared" si="15"/>
        <v>59.099999999999994</v>
      </c>
      <c r="M156" s="13">
        <f t="shared" si="15"/>
        <v>360.37142857142857</v>
      </c>
      <c r="N156" s="13">
        <f t="shared" si="15"/>
        <v>7.6142857142857139</v>
      </c>
      <c r="O156" s="13">
        <f t="shared" si="15"/>
        <v>79.071428571428569</v>
      </c>
      <c r="P156" s="13">
        <f t="shared" si="15"/>
        <v>7.2000000000000008E-2</v>
      </c>
      <c r="Q156" s="13">
        <f t="shared" si="15"/>
        <v>0.98</v>
      </c>
      <c r="R156" s="13">
        <f t="shared" si="15"/>
        <v>22.707142857142856</v>
      </c>
    </row>
    <row r="157" spans="1:18" ht="18" customHeight="1">
      <c r="A157" s="80" t="s">
        <v>12</v>
      </c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</row>
    <row r="158" spans="1:18" ht="18" customHeight="1">
      <c r="A158" s="84" t="s">
        <v>29</v>
      </c>
      <c r="B158" s="83" t="s">
        <v>0</v>
      </c>
      <c r="C158" s="84" t="s">
        <v>38</v>
      </c>
      <c r="D158" s="83" t="s">
        <v>85</v>
      </c>
      <c r="E158" s="83" t="s">
        <v>2</v>
      </c>
      <c r="F158" s="85" t="s">
        <v>69</v>
      </c>
      <c r="G158" s="85" t="s">
        <v>70</v>
      </c>
      <c r="H158" s="85" t="s">
        <v>71</v>
      </c>
      <c r="I158" s="83" t="s">
        <v>3</v>
      </c>
      <c r="J158" s="15"/>
      <c r="K158" s="8" t="s">
        <v>72</v>
      </c>
      <c r="L158" s="8"/>
      <c r="M158" s="8"/>
      <c r="N158" s="8"/>
      <c r="O158" s="83" t="s">
        <v>73</v>
      </c>
      <c r="P158" s="83"/>
      <c r="Q158" s="83"/>
      <c r="R158" s="83"/>
    </row>
    <row r="159" spans="1:18" ht="15.75" customHeight="1">
      <c r="A159" s="84"/>
      <c r="B159" s="83"/>
      <c r="C159" s="84"/>
      <c r="D159" s="83"/>
      <c r="E159" s="83"/>
      <c r="F159" s="86"/>
      <c r="G159" s="86"/>
      <c r="H159" s="86"/>
      <c r="I159" s="83"/>
      <c r="J159" s="15"/>
      <c r="K159" s="30" t="s">
        <v>30</v>
      </c>
      <c r="L159" s="24" t="s">
        <v>31</v>
      </c>
      <c r="M159" s="24" t="s">
        <v>32</v>
      </c>
      <c r="N159" s="24" t="s">
        <v>33</v>
      </c>
      <c r="O159" s="24" t="s">
        <v>34</v>
      </c>
      <c r="P159" s="24" t="s">
        <v>79</v>
      </c>
      <c r="Q159" s="24" t="s">
        <v>36</v>
      </c>
      <c r="R159" s="24" t="s">
        <v>37</v>
      </c>
    </row>
    <row r="160" spans="1:18" ht="18" customHeight="1">
      <c r="A160" s="28">
        <v>71</v>
      </c>
      <c r="B160" s="1" t="s">
        <v>7</v>
      </c>
      <c r="C160" s="5" t="s">
        <v>92</v>
      </c>
      <c r="D160" s="1">
        <v>100</v>
      </c>
      <c r="E160" s="1">
        <v>23.67</v>
      </c>
      <c r="F160" s="72">
        <v>0.8</v>
      </c>
      <c r="G160" s="72">
        <v>0</v>
      </c>
      <c r="H160" s="72">
        <v>3.3</v>
      </c>
      <c r="I160" s="2">
        <v>16</v>
      </c>
      <c r="J160" s="49"/>
      <c r="K160" s="2">
        <v>23</v>
      </c>
      <c r="L160" s="2">
        <v>0</v>
      </c>
      <c r="M160" s="2">
        <v>0</v>
      </c>
      <c r="N160" s="2">
        <v>0.5</v>
      </c>
      <c r="O160" s="2">
        <v>0</v>
      </c>
      <c r="P160" s="2">
        <v>0</v>
      </c>
      <c r="Q160" s="2">
        <v>0</v>
      </c>
      <c r="R160" s="2">
        <v>5</v>
      </c>
    </row>
    <row r="161" spans="1:18" ht="26.45" customHeight="1">
      <c r="A161" s="1">
        <v>82</v>
      </c>
      <c r="B161" s="34" t="s">
        <v>8</v>
      </c>
      <c r="C161" s="4" t="s">
        <v>124</v>
      </c>
      <c r="D161" s="1">
        <v>250</v>
      </c>
      <c r="E161" s="2">
        <v>10.17</v>
      </c>
      <c r="F161" s="2">
        <v>1.8</v>
      </c>
      <c r="G161" s="2">
        <v>4.9000000000000004</v>
      </c>
      <c r="H161" s="2">
        <v>15.2</v>
      </c>
      <c r="I161" s="2">
        <v>112.3</v>
      </c>
      <c r="J161" s="49"/>
      <c r="K161" s="2">
        <v>85.9</v>
      </c>
      <c r="L161" s="2">
        <v>10.6</v>
      </c>
      <c r="M161" s="2">
        <v>21.8</v>
      </c>
      <c r="N161" s="2">
        <v>0.9</v>
      </c>
      <c r="O161" s="2">
        <v>1</v>
      </c>
      <c r="P161" s="2">
        <v>5</v>
      </c>
      <c r="Q161" s="2">
        <v>0.3</v>
      </c>
      <c r="R161" s="2">
        <v>12.9</v>
      </c>
    </row>
    <row r="162" spans="1:18" ht="21" customHeight="1">
      <c r="A162" s="32">
        <v>282</v>
      </c>
      <c r="B162" s="37" t="s">
        <v>9</v>
      </c>
      <c r="C162" s="44" t="s">
        <v>63</v>
      </c>
      <c r="D162" s="1">
        <v>105</v>
      </c>
      <c r="E162" s="2">
        <v>67.28</v>
      </c>
      <c r="F162" s="2">
        <v>16.8</v>
      </c>
      <c r="G162" s="2">
        <v>23.1</v>
      </c>
      <c r="H162" s="2">
        <v>6.1</v>
      </c>
      <c r="I162" s="2">
        <v>299.7</v>
      </c>
      <c r="J162" s="74"/>
      <c r="K162" s="2">
        <v>19.5</v>
      </c>
      <c r="L162" s="2">
        <v>22</v>
      </c>
      <c r="M162" s="2">
        <v>346.9</v>
      </c>
      <c r="N162" s="2">
        <v>7.4</v>
      </c>
      <c r="O162" s="2">
        <v>9.6999999999999993</v>
      </c>
      <c r="P162" s="2">
        <v>2.7</v>
      </c>
      <c r="Q162" s="2">
        <v>9.5</v>
      </c>
      <c r="R162" s="2">
        <v>34.6</v>
      </c>
    </row>
    <row r="163" spans="1:18" ht="20.25" customHeight="1">
      <c r="A163" s="32">
        <v>171</v>
      </c>
      <c r="B163" s="37" t="s">
        <v>13</v>
      </c>
      <c r="C163" s="44" t="s">
        <v>61</v>
      </c>
      <c r="D163" s="1">
        <v>180</v>
      </c>
      <c r="E163" s="2">
        <v>19.82</v>
      </c>
      <c r="F163" s="2">
        <f>6.3*180/150</f>
        <v>7.56</v>
      </c>
      <c r="G163" s="2">
        <f>9.9*180/150</f>
        <v>11.88</v>
      </c>
      <c r="H163" s="2">
        <f>46.7*180/150</f>
        <v>56.04</v>
      </c>
      <c r="I163" s="2">
        <v>300.89999999999998</v>
      </c>
      <c r="J163" s="49"/>
      <c r="K163" s="2">
        <v>136.69999999999999</v>
      </c>
      <c r="L163" s="2">
        <v>1.4</v>
      </c>
      <c r="M163" s="2">
        <v>22.2</v>
      </c>
      <c r="N163" s="2">
        <v>1.2</v>
      </c>
      <c r="O163" s="2">
        <v>1.2</v>
      </c>
      <c r="P163" s="2">
        <v>0.1</v>
      </c>
      <c r="Q163" s="2">
        <v>0</v>
      </c>
      <c r="R163" s="2">
        <v>0</v>
      </c>
    </row>
    <row r="164" spans="1:18" ht="18" customHeight="1">
      <c r="A164" s="34"/>
      <c r="B164" s="34" t="s">
        <v>14</v>
      </c>
      <c r="C164" s="4" t="s">
        <v>68</v>
      </c>
      <c r="D164" s="1">
        <v>200</v>
      </c>
      <c r="E164" s="2">
        <v>12</v>
      </c>
      <c r="F164" s="2">
        <v>0.2</v>
      </c>
      <c r="G164" s="2">
        <v>0</v>
      </c>
      <c r="H164" s="2">
        <v>3.9</v>
      </c>
      <c r="I164" s="2">
        <f>16*180/150</f>
        <v>19.2</v>
      </c>
      <c r="J164" s="74"/>
      <c r="K164" s="2">
        <f>0.24*180/150</f>
        <v>0.28799999999999998</v>
      </c>
      <c r="L164" s="2">
        <f>0.2*180/150</f>
        <v>0.24</v>
      </c>
      <c r="M164" s="2">
        <f>0.5*180/150</f>
        <v>0.6</v>
      </c>
      <c r="N164" s="2">
        <f>7*180/150</f>
        <v>8.4</v>
      </c>
      <c r="O164" s="2">
        <v>0</v>
      </c>
      <c r="P164" s="2">
        <f>0.1*180/150</f>
        <v>0.12</v>
      </c>
      <c r="Q164" s="2">
        <v>0</v>
      </c>
      <c r="R164" s="2">
        <v>6</v>
      </c>
    </row>
    <row r="165" spans="1:18" ht="18" customHeight="1">
      <c r="A165" s="1"/>
      <c r="B165" s="34" t="s">
        <v>15</v>
      </c>
      <c r="C165" s="4" t="s">
        <v>80</v>
      </c>
      <c r="D165" s="32">
        <v>40</v>
      </c>
      <c r="E165" s="2">
        <v>2.8</v>
      </c>
      <c r="F165" s="2">
        <v>2.2400000000000002</v>
      </c>
      <c r="G165" s="2">
        <v>0.44000000000000006</v>
      </c>
      <c r="H165" s="2">
        <v>19.759999999999998</v>
      </c>
      <c r="I165" s="2">
        <v>91.960000000000008</v>
      </c>
      <c r="J165" s="74"/>
      <c r="K165" s="2">
        <v>9.1999999999999993</v>
      </c>
      <c r="L165" s="2">
        <v>10</v>
      </c>
      <c r="M165" s="2">
        <v>42.4</v>
      </c>
      <c r="N165" s="2">
        <v>1.24</v>
      </c>
      <c r="O165" s="2">
        <v>0</v>
      </c>
      <c r="P165" s="2">
        <v>0.04</v>
      </c>
      <c r="Q165" s="2">
        <v>0</v>
      </c>
      <c r="R165" s="2">
        <v>0</v>
      </c>
    </row>
    <row r="166" spans="1:18" ht="18" customHeight="1">
      <c r="A166" s="1"/>
      <c r="B166" s="34" t="s">
        <v>81</v>
      </c>
      <c r="C166" s="27" t="s">
        <v>83</v>
      </c>
      <c r="D166" s="32">
        <v>70</v>
      </c>
      <c r="E166" s="35">
        <v>4.9000000000000004</v>
      </c>
      <c r="F166" s="2">
        <v>5.53</v>
      </c>
      <c r="G166" s="2">
        <v>0.7</v>
      </c>
      <c r="H166" s="2">
        <v>33.81</v>
      </c>
      <c r="I166" s="2">
        <v>163.66</v>
      </c>
      <c r="J166" s="49"/>
      <c r="K166" s="2">
        <v>16.100000000000001</v>
      </c>
      <c r="L166" s="2">
        <v>23.1</v>
      </c>
      <c r="M166" s="2">
        <v>60.9</v>
      </c>
      <c r="N166" s="2">
        <v>0.77</v>
      </c>
      <c r="O166" s="2">
        <v>0</v>
      </c>
      <c r="P166" s="2">
        <v>7.0000000000000007E-2</v>
      </c>
      <c r="Q166" s="2">
        <v>0</v>
      </c>
      <c r="R166" s="2">
        <v>0</v>
      </c>
    </row>
    <row r="167" spans="1:18" ht="18" customHeight="1">
      <c r="A167" s="82" t="s">
        <v>11</v>
      </c>
      <c r="B167" s="82"/>
      <c r="C167" s="82"/>
      <c r="D167" s="24">
        <f t="shared" ref="D167:R167" si="16">SUM(D160:D166)</f>
        <v>945</v>
      </c>
      <c r="E167" s="24">
        <f t="shared" si="16"/>
        <v>140.64000000000001</v>
      </c>
      <c r="F167" s="13">
        <f t="shared" si="16"/>
        <v>34.93</v>
      </c>
      <c r="G167" s="13">
        <f t="shared" si="16"/>
        <v>41.02</v>
      </c>
      <c r="H167" s="13">
        <f t="shared" si="16"/>
        <v>138.11000000000001</v>
      </c>
      <c r="I167" s="13">
        <f t="shared" si="16"/>
        <v>1003.72</v>
      </c>
      <c r="J167" s="13">
        <f t="shared" si="16"/>
        <v>0</v>
      </c>
      <c r="K167" s="13">
        <f t="shared" si="16"/>
        <v>290.68800000000005</v>
      </c>
      <c r="L167" s="13">
        <f t="shared" si="16"/>
        <v>67.34</v>
      </c>
      <c r="M167" s="13">
        <f t="shared" si="16"/>
        <v>494.79999999999995</v>
      </c>
      <c r="N167" s="13">
        <f t="shared" si="16"/>
        <v>20.409999999999997</v>
      </c>
      <c r="O167" s="13">
        <f t="shared" si="16"/>
        <v>11.899999999999999</v>
      </c>
      <c r="P167" s="13">
        <f t="shared" si="16"/>
        <v>8.0299999999999994</v>
      </c>
      <c r="Q167" s="13">
        <f t="shared" si="16"/>
        <v>9.8000000000000007</v>
      </c>
      <c r="R167" s="13">
        <f t="shared" si="16"/>
        <v>58.5</v>
      </c>
    </row>
    <row r="168" spans="1:18" ht="18" customHeight="1">
      <c r="A168" s="81" t="s">
        <v>17</v>
      </c>
      <c r="B168" s="81"/>
      <c r="C168" s="81"/>
      <c r="D168" s="81"/>
      <c r="E168" s="13">
        <f>E156+E167</f>
        <v>231.3</v>
      </c>
      <c r="F168" s="13">
        <f>F156+F167</f>
        <v>59.032857142857139</v>
      </c>
      <c r="G168" s="13">
        <f>G156+G167</f>
        <v>61.121428571428574</v>
      </c>
      <c r="H168" s="13">
        <f>H156+H167</f>
        <v>211.43857142857144</v>
      </c>
      <c r="I168" s="13">
        <f>I156+I167</f>
        <v>1580.6914285714286</v>
      </c>
      <c r="J168" s="49"/>
      <c r="K168" s="13">
        <f t="shared" ref="K168:R168" si="17">K156+K167</f>
        <v>632.38800000000003</v>
      </c>
      <c r="L168" s="13">
        <f t="shared" si="17"/>
        <v>126.44</v>
      </c>
      <c r="M168" s="13">
        <f t="shared" si="17"/>
        <v>855.17142857142858</v>
      </c>
      <c r="N168" s="13">
        <f t="shared" si="17"/>
        <v>28.02428571428571</v>
      </c>
      <c r="O168" s="13">
        <f t="shared" si="17"/>
        <v>90.971428571428561</v>
      </c>
      <c r="P168" s="13">
        <f t="shared" si="17"/>
        <v>8.1019999999999985</v>
      </c>
      <c r="Q168" s="13">
        <f t="shared" si="17"/>
        <v>10.780000000000001</v>
      </c>
      <c r="R168" s="13">
        <f t="shared" si="17"/>
        <v>81.207142857142856</v>
      </c>
    </row>
    <row r="169" spans="1:18">
      <c r="A169" s="16"/>
      <c r="B169" s="16"/>
      <c r="C169" s="16"/>
      <c r="D169" s="16"/>
      <c r="E169" s="18"/>
      <c r="F169" s="18"/>
      <c r="G169" s="18"/>
      <c r="H169" s="18"/>
      <c r="I169" s="18"/>
      <c r="J169" s="20"/>
      <c r="K169" s="18"/>
      <c r="L169" s="18"/>
      <c r="M169" s="17"/>
      <c r="N169" s="18"/>
      <c r="O169" s="18"/>
      <c r="P169" s="17"/>
      <c r="Q169" s="19"/>
      <c r="R169" s="18"/>
    </row>
    <row r="170" spans="1:18">
      <c r="A170" s="16"/>
      <c r="B170" s="16"/>
      <c r="C170" s="16"/>
      <c r="D170" s="16"/>
      <c r="E170" s="18"/>
      <c r="F170" s="18"/>
      <c r="G170" s="18"/>
      <c r="H170" s="18"/>
      <c r="I170" s="18"/>
      <c r="J170" s="20"/>
      <c r="K170" s="18"/>
      <c r="L170" s="18"/>
      <c r="M170" s="17"/>
      <c r="N170" s="18"/>
      <c r="O170" s="18"/>
      <c r="P170" s="17"/>
      <c r="Q170" s="19"/>
      <c r="R170" s="18"/>
    </row>
    <row r="171" spans="1:18">
      <c r="A171" s="16"/>
      <c r="B171" s="16"/>
      <c r="C171" s="16"/>
      <c r="D171" s="16"/>
      <c r="E171" s="18"/>
      <c r="F171" s="18"/>
      <c r="G171" s="18"/>
      <c r="H171" s="18"/>
      <c r="I171" s="18"/>
      <c r="J171" s="20"/>
      <c r="K171" s="18"/>
      <c r="L171" s="18"/>
      <c r="M171" s="17"/>
      <c r="N171" s="18"/>
      <c r="O171" s="18"/>
      <c r="P171" s="17"/>
      <c r="Q171" s="19"/>
      <c r="R171" s="18"/>
    </row>
    <row r="172" spans="1:18">
      <c r="A172" s="16"/>
      <c r="B172" s="16"/>
      <c r="C172" s="16"/>
      <c r="D172" s="16"/>
      <c r="E172" s="18"/>
      <c r="F172" s="18"/>
      <c r="G172" s="18"/>
      <c r="H172" s="18"/>
      <c r="I172" s="18"/>
      <c r="J172" s="20"/>
      <c r="K172" s="18"/>
      <c r="L172" s="18"/>
      <c r="M172" s="17"/>
      <c r="N172" s="18"/>
      <c r="O172" s="18"/>
      <c r="P172" s="17"/>
      <c r="Q172" s="19"/>
      <c r="R172" s="18"/>
    </row>
    <row r="173" spans="1:18">
      <c r="A173" s="16"/>
      <c r="B173" s="16"/>
      <c r="C173" s="16"/>
      <c r="D173" s="16"/>
      <c r="E173" s="18"/>
      <c r="F173" s="18"/>
      <c r="G173" s="18"/>
      <c r="H173" s="18"/>
      <c r="I173" s="18"/>
      <c r="J173" s="20"/>
      <c r="K173" s="18"/>
      <c r="L173" s="18"/>
      <c r="M173" s="17"/>
      <c r="N173" s="18"/>
      <c r="O173" s="18"/>
      <c r="P173" s="17"/>
      <c r="Q173" s="19"/>
      <c r="R173" s="18"/>
    </row>
    <row r="174" spans="1:18">
      <c r="A174" s="16"/>
      <c r="B174" s="16"/>
      <c r="C174" s="16"/>
      <c r="D174" s="16"/>
      <c r="E174" s="18"/>
      <c r="F174" s="18"/>
      <c r="G174" s="18"/>
      <c r="H174" s="18"/>
      <c r="I174" s="18"/>
      <c r="J174" s="20"/>
      <c r="K174" s="18"/>
      <c r="L174" s="18"/>
      <c r="M174" s="17"/>
      <c r="N174" s="18"/>
      <c r="O174" s="18"/>
      <c r="P174" s="17"/>
      <c r="Q174" s="19"/>
      <c r="R174" s="18"/>
    </row>
    <row r="175" spans="1:18" ht="18" customHeight="1">
      <c r="A175" s="89" t="s">
        <v>46</v>
      </c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1"/>
    </row>
    <row r="176" spans="1:18" ht="18.75" customHeight="1">
      <c r="A176" s="80" t="s">
        <v>4</v>
      </c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</row>
    <row r="177" spans="1:18" ht="18" customHeight="1">
      <c r="A177" s="84" t="s">
        <v>29</v>
      </c>
      <c r="B177" s="83" t="s">
        <v>0</v>
      </c>
      <c r="C177" s="84" t="s">
        <v>38</v>
      </c>
      <c r="D177" s="83" t="s">
        <v>85</v>
      </c>
      <c r="E177" s="83" t="s">
        <v>2</v>
      </c>
      <c r="F177" s="85" t="s">
        <v>69</v>
      </c>
      <c r="G177" s="85" t="s">
        <v>70</v>
      </c>
      <c r="H177" s="85" t="s">
        <v>71</v>
      </c>
      <c r="I177" s="83" t="s">
        <v>3</v>
      </c>
      <c r="J177" s="15"/>
      <c r="K177" s="8" t="s">
        <v>72</v>
      </c>
      <c r="L177" s="8"/>
      <c r="M177" s="8"/>
      <c r="N177" s="8"/>
      <c r="O177" s="83" t="s">
        <v>73</v>
      </c>
      <c r="P177" s="83"/>
      <c r="Q177" s="83"/>
      <c r="R177" s="83"/>
    </row>
    <row r="178" spans="1:18" ht="15" customHeight="1">
      <c r="A178" s="84"/>
      <c r="B178" s="83"/>
      <c r="C178" s="84"/>
      <c r="D178" s="83"/>
      <c r="E178" s="83"/>
      <c r="F178" s="86"/>
      <c r="G178" s="86"/>
      <c r="H178" s="86"/>
      <c r="I178" s="83"/>
      <c r="J178" s="15"/>
      <c r="K178" s="30" t="s">
        <v>30</v>
      </c>
      <c r="L178" s="24" t="s">
        <v>31</v>
      </c>
      <c r="M178" s="24" t="s">
        <v>32</v>
      </c>
      <c r="N178" s="24" t="s">
        <v>33</v>
      </c>
      <c r="O178" s="24" t="s">
        <v>34</v>
      </c>
      <c r="P178" s="24" t="s">
        <v>79</v>
      </c>
      <c r="Q178" s="24" t="s">
        <v>36</v>
      </c>
      <c r="R178" s="24" t="s">
        <v>37</v>
      </c>
    </row>
    <row r="179" spans="1:18" ht="24.75" customHeight="1">
      <c r="A179" s="52">
        <v>174</v>
      </c>
      <c r="B179" s="60">
        <v>1</v>
      </c>
      <c r="C179" s="61" t="s">
        <v>126</v>
      </c>
      <c r="D179" s="62" t="s">
        <v>94</v>
      </c>
      <c r="E179" s="60">
        <v>25.47</v>
      </c>
      <c r="F179" s="52">
        <v>132.79</v>
      </c>
      <c r="G179" s="52">
        <v>9.93</v>
      </c>
      <c r="H179" s="52">
        <v>35.47</v>
      </c>
      <c r="I179" s="60">
        <v>258.76</v>
      </c>
      <c r="J179" s="27"/>
      <c r="K179" s="1">
        <v>146.61000000000001</v>
      </c>
      <c r="L179" s="1">
        <v>32.99</v>
      </c>
      <c r="M179" s="1">
        <v>218.51</v>
      </c>
      <c r="N179" s="2">
        <v>0</v>
      </c>
      <c r="O179" s="2">
        <v>0.05</v>
      </c>
      <c r="P179" s="2">
        <v>0.1</v>
      </c>
      <c r="Q179" s="2">
        <v>1.07</v>
      </c>
      <c r="R179" s="2">
        <v>0.87</v>
      </c>
    </row>
    <row r="180" spans="1:18" ht="18" customHeight="1">
      <c r="A180" s="28">
        <v>15</v>
      </c>
      <c r="B180" s="1" t="s">
        <v>8</v>
      </c>
      <c r="C180" s="31" t="s">
        <v>114</v>
      </c>
      <c r="D180" s="1">
        <v>10</v>
      </c>
      <c r="E180" s="2">
        <v>9.07</v>
      </c>
      <c r="F180" s="1">
        <v>2.3199999999999998</v>
      </c>
      <c r="G180" s="1">
        <v>2.95</v>
      </c>
      <c r="H180" s="2">
        <v>0</v>
      </c>
      <c r="I180" s="3">
        <v>35.83</v>
      </c>
      <c r="J180" s="78"/>
      <c r="K180" s="3">
        <v>88</v>
      </c>
      <c r="L180" s="3">
        <v>3.5</v>
      </c>
      <c r="M180" s="3">
        <v>50</v>
      </c>
      <c r="N180" s="2">
        <v>0.1</v>
      </c>
      <c r="O180" s="2">
        <v>26</v>
      </c>
      <c r="P180" s="2">
        <v>0</v>
      </c>
      <c r="Q180" s="2">
        <v>0</v>
      </c>
      <c r="R180" s="2">
        <v>0</v>
      </c>
    </row>
    <row r="181" spans="1:18" ht="18" customHeight="1">
      <c r="A181" s="48"/>
      <c r="B181" s="1" t="s">
        <v>9</v>
      </c>
      <c r="C181" s="5" t="s">
        <v>78</v>
      </c>
      <c r="D181" s="1">
        <v>80</v>
      </c>
      <c r="E181" s="2">
        <v>5.6</v>
      </c>
      <c r="F181" s="2">
        <v>6.32</v>
      </c>
      <c r="G181" s="2">
        <v>0.8</v>
      </c>
      <c r="H181" s="2">
        <v>38.64</v>
      </c>
      <c r="I181" s="3">
        <v>187</v>
      </c>
      <c r="J181" s="78"/>
      <c r="K181" s="3">
        <v>18.399999999999999</v>
      </c>
      <c r="L181" s="3">
        <v>26.4</v>
      </c>
      <c r="M181" s="3">
        <v>69.599999999999994</v>
      </c>
      <c r="N181" s="2">
        <v>0.88</v>
      </c>
      <c r="O181" s="2">
        <v>0</v>
      </c>
      <c r="P181" s="2">
        <v>0.08</v>
      </c>
      <c r="Q181" s="2">
        <v>0.2</v>
      </c>
      <c r="R181" s="2">
        <v>0.2</v>
      </c>
    </row>
    <row r="182" spans="1:18" ht="18" customHeight="1">
      <c r="A182" s="1">
        <v>377</v>
      </c>
      <c r="B182" s="1" t="s">
        <v>13</v>
      </c>
      <c r="C182" s="27" t="s">
        <v>26</v>
      </c>
      <c r="D182" s="1">
        <v>200</v>
      </c>
      <c r="E182" s="2">
        <v>3.63</v>
      </c>
      <c r="F182" s="2">
        <v>0.2</v>
      </c>
      <c r="G182" s="2">
        <v>0</v>
      </c>
      <c r="H182" s="2">
        <v>16</v>
      </c>
      <c r="I182" s="3">
        <v>65</v>
      </c>
      <c r="J182" s="78"/>
      <c r="K182" s="3">
        <v>225.1</v>
      </c>
      <c r="L182" s="3">
        <v>198.2</v>
      </c>
      <c r="M182" s="3">
        <v>371.1</v>
      </c>
      <c r="N182" s="2">
        <v>36.799999999999997</v>
      </c>
      <c r="O182" s="2">
        <v>0</v>
      </c>
      <c r="P182" s="2">
        <v>1.1000000000000001</v>
      </c>
      <c r="Q182" s="2">
        <v>3.6</v>
      </c>
      <c r="R182" s="2">
        <v>7.3</v>
      </c>
    </row>
    <row r="183" spans="1:18">
      <c r="A183" s="82" t="s">
        <v>11</v>
      </c>
      <c r="B183" s="82"/>
      <c r="C183" s="82"/>
      <c r="D183" s="30">
        <v>550</v>
      </c>
      <c r="E183" s="13">
        <f>SUM(E178:E182)</f>
        <v>43.77</v>
      </c>
      <c r="F183" s="13">
        <f>SUM(F178:F182)</f>
        <v>141.62999999999997</v>
      </c>
      <c r="G183" s="13">
        <f>SUM(G178:G182)</f>
        <v>13.68</v>
      </c>
      <c r="H183" s="13">
        <f>SUM(H178:H182)</f>
        <v>90.11</v>
      </c>
      <c r="I183" s="14">
        <f>SUM(I178:I182)</f>
        <v>546.58999999999992</v>
      </c>
      <c r="J183" s="78"/>
      <c r="K183" s="14">
        <f t="shared" ref="K183:R183" si="18">SUM(K179:K182)</f>
        <v>478.11</v>
      </c>
      <c r="L183" s="14">
        <f t="shared" si="18"/>
        <v>261.08999999999997</v>
      </c>
      <c r="M183" s="14">
        <f t="shared" si="18"/>
        <v>709.21</v>
      </c>
      <c r="N183" s="13">
        <f t="shared" si="18"/>
        <v>37.779999999999994</v>
      </c>
      <c r="O183" s="13">
        <f t="shared" si="18"/>
        <v>26.05</v>
      </c>
      <c r="P183" s="13">
        <f t="shared" si="18"/>
        <v>1.28</v>
      </c>
      <c r="Q183" s="13">
        <f t="shared" si="18"/>
        <v>4.87</v>
      </c>
      <c r="R183" s="13">
        <f t="shared" si="18"/>
        <v>8.3699999999999992</v>
      </c>
    </row>
    <row r="184" spans="1:18" ht="18" customHeight="1">
      <c r="A184" s="80" t="s">
        <v>12</v>
      </c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</row>
    <row r="185" spans="1:18" ht="18" customHeight="1">
      <c r="A185" s="84" t="s">
        <v>29</v>
      </c>
      <c r="B185" s="83" t="s">
        <v>0</v>
      </c>
      <c r="C185" s="84" t="s">
        <v>38</v>
      </c>
      <c r="D185" s="83" t="s">
        <v>85</v>
      </c>
      <c r="E185" s="83" t="s">
        <v>2</v>
      </c>
      <c r="F185" s="85" t="s">
        <v>69</v>
      </c>
      <c r="G185" s="85" t="s">
        <v>70</v>
      </c>
      <c r="H185" s="85" t="s">
        <v>71</v>
      </c>
      <c r="I185" s="83" t="s">
        <v>3</v>
      </c>
      <c r="J185" s="15"/>
      <c r="K185" s="8" t="s">
        <v>72</v>
      </c>
      <c r="L185" s="8"/>
      <c r="M185" s="8"/>
      <c r="N185" s="8"/>
      <c r="O185" s="83" t="s">
        <v>73</v>
      </c>
      <c r="P185" s="83"/>
      <c r="Q185" s="83"/>
      <c r="R185" s="83"/>
    </row>
    <row r="186" spans="1:18" ht="15" customHeight="1">
      <c r="A186" s="84"/>
      <c r="B186" s="83"/>
      <c r="C186" s="84"/>
      <c r="D186" s="83"/>
      <c r="E186" s="83"/>
      <c r="F186" s="86"/>
      <c r="G186" s="86"/>
      <c r="H186" s="86"/>
      <c r="I186" s="83"/>
      <c r="J186" s="15"/>
      <c r="K186" s="30" t="s">
        <v>30</v>
      </c>
      <c r="L186" s="24" t="s">
        <v>31</v>
      </c>
      <c r="M186" s="24" t="s">
        <v>32</v>
      </c>
      <c r="N186" s="24" t="s">
        <v>33</v>
      </c>
      <c r="O186" s="24" t="s">
        <v>34</v>
      </c>
      <c r="P186" s="24" t="s">
        <v>79</v>
      </c>
      <c r="Q186" s="24" t="s">
        <v>36</v>
      </c>
      <c r="R186" s="24" t="s">
        <v>37</v>
      </c>
    </row>
    <row r="187" spans="1:18" ht="21" customHeight="1">
      <c r="A187" s="28">
        <v>52</v>
      </c>
      <c r="B187" s="1" t="s">
        <v>7</v>
      </c>
      <c r="C187" s="5" t="s">
        <v>93</v>
      </c>
      <c r="D187" s="1">
        <v>100</v>
      </c>
      <c r="E187" s="2">
        <v>8.41</v>
      </c>
      <c r="F187" s="72">
        <v>1.7</v>
      </c>
      <c r="G187" s="72">
        <v>6</v>
      </c>
      <c r="H187" s="72">
        <v>11</v>
      </c>
      <c r="I187" s="2">
        <v>104</v>
      </c>
      <c r="J187" s="49"/>
      <c r="K187" s="2">
        <v>35.200000000000003</v>
      </c>
      <c r="L187" s="2">
        <v>20.8</v>
      </c>
      <c r="M187" s="2">
        <v>41</v>
      </c>
      <c r="N187" s="2">
        <v>1.3</v>
      </c>
      <c r="O187" s="2">
        <v>0</v>
      </c>
      <c r="P187" s="2">
        <v>0</v>
      </c>
      <c r="Q187" s="2">
        <v>0.2</v>
      </c>
      <c r="R187" s="2">
        <v>9.5</v>
      </c>
    </row>
    <row r="188" spans="1:18" ht="18" customHeight="1">
      <c r="A188" s="1">
        <v>101</v>
      </c>
      <c r="B188" s="1" t="s">
        <v>8</v>
      </c>
      <c r="C188" s="5" t="s">
        <v>53</v>
      </c>
      <c r="D188" s="1">
        <v>250</v>
      </c>
      <c r="E188" s="2">
        <v>6.42</v>
      </c>
      <c r="F188" s="2">
        <f>2*250/200</f>
        <v>2.5</v>
      </c>
      <c r="G188" s="2">
        <f>2.7*250/200</f>
        <v>3.375</v>
      </c>
      <c r="H188" s="2">
        <f>20.9*250/200</f>
        <v>26.125</v>
      </c>
      <c r="I188" s="2">
        <f>116.3*250/200</f>
        <v>145.375</v>
      </c>
      <c r="J188" s="49"/>
      <c r="K188" s="2">
        <f>23.1*250/200</f>
        <v>28.875</v>
      </c>
      <c r="L188" s="2">
        <f>25*250/200</f>
        <v>31.25</v>
      </c>
      <c r="M188" s="2">
        <f>62.6*250/200</f>
        <v>78.25</v>
      </c>
      <c r="N188" s="2">
        <f>0.9*250/200</f>
        <v>1.125</v>
      </c>
      <c r="O188" s="2">
        <v>0</v>
      </c>
      <c r="P188" s="2">
        <f>0.1*250/200</f>
        <v>0.125</v>
      </c>
      <c r="Q188" s="2">
        <v>0</v>
      </c>
      <c r="R188" s="2">
        <f>8.25*250/200</f>
        <v>10.3125</v>
      </c>
    </row>
    <row r="189" spans="1:18" ht="18" customHeight="1">
      <c r="A189" s="1">
        <v>234</v>
      </c>
      <c r="B189" s="1" t="s">
        <v>9</v>
      </c>
      <c r="C189" s="45" t="s">
        <v>59</v>
      </c>
      <c r="D189" s="1">
        <v>105</v>
      </c>
      <c r="E189" s="2">
        <v>32.93</v>
      </c>
      <c r="F189" s="2">
        <f>12.7*100/90</f>
        <v>14.111111111111111</v>
      </c>
      <c r="G189" s="2">
        <f>16.2*100/90</f>
        <v>18</v>
      </c>
      <c r="H189" s="2">
        <f>10.1*100/90</f>
        <v>11.222222222222221</v>
      </c>
      <c r="I189" s="2">
        <f>236.6*100/90</f>
        <v>262.88888888888891</v>
      </c>
      <c r="J189" s="49"/>
      <c r="K189" s="2">
        <f>126.1*100/90</f>
        <v>140.11111111111111</v>
      </c>
      <c r="L189" s="2">
        <v>0</v>
      </c>
      <c r="M189" s="2">
        <v>0</v>
      </c>
      <c r="N189" s="2">
        <f>0.9*100/90</f>
        <v>1</v>
      </c>
      <c r="O189" s="2">
        <v>0</v>
      </c>
      <c r="P189" s="2">
        <f>0.2*100/90</f>
        <v>0.22222222222222221</v>
      </c>
      <c r="Q189" s="2">
        <v>0</v>
      </c>
      <c r="R189" s="2">
        <f>6.1*100/90</f>
        <v>6.7777777777777777</v>
      </c>
    </row>
    <row r="190" spans="1:18" ht="18" customHeight="1">
      <c r="A190" s="1">
        <v>142</v>
      </c>
      <c r="B190" s="1" t="s">
        <v>13</v>
      </c>
      <c r="C190" s="45" t="s">
        <v>75</v>
      </c>
      <c r="D190" s="1" t="s">
        <v>123</v>
      </c>
      <c r="E190" s="2">
        <v>15.45</v>
      </c>
      <c r="F190" s="2">
        <f>3*180/150</f>
        <v>3.6</v>
      </c>
      <c r="G190" s="2">
        <f>7.9*180/150</f>
        <v>9.48</v>
      </c>
      <c r="H190" s="2">
        <f>29.8*180/150</f>
        <v>35.76</v>
      </c>
      <c r="I190" s="2">
        <f>202.8*180/150</f>
        <v>243.36</v>
      </c>
      <c r="J190" s="74"/>
      <c r="K190" s="2">
        <f>29.8*180/150</f>
        <v>35.76</v>
      </c>
      <c r="L190" s="2">
        <v>0</v>
      </c>
      <c r="M190" s="2">
        <v>0</v>
      </c>
      <c r="N190" s="2">
        <f>1.6*180/150</f>
        <v>1.92</v>
      </c>
      <c r="O190" s="2">
        <v>0</v>
      </c>
      <c r="P190" s="2">
        <f>0.4*180/150</f>
        <v>0.48</v>
      </c>
      <c r="Q190" s="2">
        <v>0</v>
      </c>
      <c r="R190" s="2">
        <f>35.9*180/150</f>
        <v>43.08</v>
      </c>
    </row>
    <row r="191" spans="1:18" ht="18" customHeight="1">
      <c r="A191" s="1">
        <v>349</v>
      </c>
      <c r="B191" s="1" t="s">
        <v>14</v>
      </c>
      <c r="C191" s="4" t="s">
        <v>86</v>
      </c>
      <c r="D191" s="1">
        <v>200</v>
      </c>
      <c r="E191" s="2">
        <v>5.48</v>
      </c>
      <c r="F191" s="2">
        <v>0.6</v>
      </c>
      <c r="G191" s="2">
        <v>0.09</v>
      </c>
      <c r="H191" s="2">
        <v>32.01</v>
      </c>
      <c r="I191" s="2">
        <v>132.80000000000001</v>
      </c>
      <c r="J191" s="49"/>
      <c r="K191" s="2">
        <v>32.479999999999997</v>
      </c>
      <c r="L191" s="2">
        <v>17.46</v>
      </c>
      <c r="M191" s="2">
        <v>23.44</v>
      </c>
      <c r="N191" s="2">
        <v>0.7</v>
      </c>
      <c r="O191" s="2">
        <v>0</v>
      </c>
      <c r="P191" s="2">
        <v>0.02</v>
      </c>
      <c r="Q191" s="2">
        <v>0.26</v>
      </c>
      <c r="R191" s="2">
        <v>0.73</v>
      </c>
    </row>
    <row r="192" spans="1:18" ht="18" customHeight="1">
      <c r="A192" s="1"/>
      <c r="B192" s="1" t="s">
        <v>15</v>
      </c>
      <c r="C192" s="4" t="s">
        <v>99</v>
      </c>
      <c r="D192" s="32">
        <v>40</v>
      </c>
      <c r="E192" s="2">
        <v>2.8</v>
      </c>
      <c r="F192" s="2">
        <v>2.2400000000000002</v>
      </c>
      <c r="G192" s="2">
        <v>0.44000000000000006</v>
      </c>
      <c r="H192" s="2">
        <v>19.759999999999998</v>
      </c>
      <c r="I192" s="2">
        <v>91.960000000000008</v>
      </c>
      <c r="J192" s="49"/>
      <c r="K192" s="2">
        <v>9.1999999999999993</v>
      </c>
      <c r="L192" s="2">
        <v>10</v>
      </c>
      <c r="M192" s="2">
        <v>42.4</v>
      </c>
      <c r="N192" s="2">
        <v>1.24</v>
      </c>
      <c r="O192" s="2">
        <v>0</v>
      </c>
      <c r="P192" s="2">
        <v>0.04</v>
      </c>
      <c r="Q192" s="2">
        <v>0</v>
      </c>
      <c r="R192" s="2">
        <v>0</v>
      </c>
    </row>
    <row r="193" spans="1:18" ht="18" customHeight="1">
      <c r="A193" s="1"/>
      <c r="B193" s="1" t="s">
        <v>81</v>
      </c>
      <c r="C193" s="27" t="s">
        <v>83</v>
      </c>
      <c r="D193" s="32">
        <v>70</v>
      </c>
      <c r="E193" s="35">
        <v>4.9000000000000004</v>
      </c>
      <c r="F193" s="2">
        <v>5.53</v>
      </c>
      <c r="G193" s="2">
        <v>0.7</v>
      </c>
      <c r="H193" s="2">
        <v>33.81</v>
      </c>
      <c r="I193" s="2">
        <v>163.66</v>
      </c>
      <c r="J193" s="49"/>
      <c r="K193" s="2">
        <v>16.100000000000001</v>
      </c>
      <c r="L193" s="2">
        <v>23.1</v>
      </c>
      <c r="M193" s="2">
        <v>60.9</v>
      </c>
      <c r="N193" s="2">
        <v>0.77</v>
      </c>
      <c r="O193" s="2">
        <v>0</v>
      </c>
      <c r="P193" s="2">
        <v>7.0000000000000007E-2</v>
      </c>
      <c r="Q193" s="2">
        <v>0</v>
      </c>
      <c r="R193" s="2">
        <v>0</v>
      </c>
    </row>
    <row r="194" spans="1:18" ht="18" customHeight="1">
      <c r="A194" s="1">
        <v>386</v>
      </c>
      <c r="B194" s="1" t="s">
        <v>95</v>
      </c>
      <c r="C194" s="27" t="s">
        <v>96</v>
      </c>
      <c r="D194" s="1">
        <v>100</v>
      </c>
      <c r="E194" s="2">
        <v>11.85</v>
      </c>
      <c r="F194" s="2">
        <v>3</v>
      </c>
      <c r="G194" s="2">
        <v>1</v>
      </c>
      <c r="H194" s="2">
        <v>4.2</v>
      </c>
      <c r="I194" s="2">
        <v>40</v>
      </c>
      <c r="J194" s="49"/>
      <c r="K194" s="2">
        <v>124</v>
      </c>
      <c r="L194" s="2">
        <v>14</v>
      </c>
      <c r="M194" s="2">
        <v>92</v>
      </c>
      <c r="N194" s="2">
        <v>0.1</v>
      </c>
      <c r="O194" s="2">
        <v>0</v>
      </c>
      <c r="P194" s="2">
        <v>0.03</v>
      </c>
      <c r="Q194" s="2">
        <v>0.1</v>
      </c>
      <c r="R194" s="2">
        <v>0.3</v>
      </c>
    </row>
    <row r="195" spans="1:18" ht="18" customHeight="1">
      <c r="A195" s="82" t="s">
        <v>11</v>
      </c>
      <c r="B195" s="82"/>
      <c r="C195" s="82"/>
      <c r="D195" s="24">
        <v>1045</v>
      </c>
      <c r="E195" s="24">
        <f t="shared" ref="E195:R195" si="19">SUM(E187:E194)</f>
        <v>88.24</v>
      </c>
      <c r="F195" s="13">
        <f t="shared" si="19"/>
        <v>33.281111111111116</v>
      </c>
      <c r="G195" s="13">
        <f t="shared" si="19"/>
        <v>39.085000000000008</v>
      </c>
      <c r="H195" s="13">
        <f t="shared" si="19"/>
        <v>173.88722222222219</v>
      </c>
      <c r="I195" s="13">
        <f t="shared" si="19"/>
        <v>1184.0438888888891</v>
      </c>
      <c r="J195" s="13">
        <f t="shared" si="19"/>
        <v>0</v>
      </c>
      <c r="K195" s="13">
        <f t="shared" si="19"/>
        <v>421.72611111111115</v>
      </c>
      <c r="L195" s="13">
        <f t="shared" si="19"/>
        <v>116.60999999999999</v>
      </c>
      <c r="M195" s="13">
        <f t="shared" si="19"/>
        <v>337.99</v>
      </c>
      <c r="N195" s="13">
        <f t="shared" si="19"/>
        <v>8.1549999999999994</v>
      </c>
      <c r="O195" s="13">
        <f t="shared" si="19"/>
        <v>0</v>
      </c>
      <c r="P195" s="13">
        <f t="shared" si="19"/>
        <v>0.98722222222222222</v>
      </c>
      <c r="Q195" s="13">
        <f t="shared" si="19"/>
        <v>0.56000000000000005</v>
      </c>
      <c r="R195" s="13">
        <f t="shared" si="19"/>
        <v>70.700277777777785</v>
      </c>
    </row>
    <row r="196" spans="1:18" ht="18" customHeight="1">
      <c r="A196" s="81" t="s">
        <v>17</v>
      </c>
      <c r="B196" s="81"/>
      <c r="C196" s="81"/>
      <c r="D196" s="81"/>
      <c r="E196" s="13">
        <f>E183+E195</f>
        <v>132.01</v>
      </c>
      <c r="F196" s="13">
        <f>F183+F195</f>
        <v>174.9111111111111</v>
      </c>
      <c r="G196" s="13">
        <f>G183+G195</f>
        <v>52.765000000000008</v>
      </c>
      <c r="H196" s="13">
        <f>H183+H195</f>
        <v>263.99722222222221</v>
      </c>
      <c r="I196" s="13">
        <f>I183+I195</f>
        <v>1730.633888888889</v>
      </c>
      <c r="J196" s="49"/>
      <c r="K196" s="13">
        <f t="shared" ref="K196:R196" si="20">K183+K195</f>
        <v>899.83611111111122</v>
      </c>
      <c r="L196" s="13">
        <f t="shared" si="20"/>
        <v>377.69999999999993</v>
      </c>
      <c r="M196" s="13">
        <f t="shared" si="20"/>
        <v>1047.2</v>
      </c>
      <c r="N196" s="13">
        <f t="shared" si="20"/>
        <v>45.934999999999995</v>
      </c>
      <c r="O196" s="13">
        <f t="shared" si="20"/>
        <v>26.05</v>
      </c>
      <c r="P196" s="13">
        <f t="shared" si="20"/>
        <v>2.2672222222222222</v>
      </c>
      <c r="Q196" s="13">
        <f t="shared" si="20"/>
        <v>5.43</v>
      </c>
      <c r="R196" s="13">
        <f t="shared" si="20"/>
        <v>79.07027777777779</v>
      </c>
    </row>
    <row r="197" spans="1:18">
      <c r="A197" s="16"/>
      <c r="B197" s="16"/>
      <c r="C197" s="16"/>
      <c r="D197" s="16"/>
      <c r="E197" s="18"/>
      <c r="F197" s="18"/>
      <c r="G197" s="18"/>
      <c r="H197" s="18"/>
      <c r="I197" s="18"/>
      <c r="J197" s="20"/>
      <c r="K197" s="18"/>
      <c r="L197" s="18"/>
      <c r="M197" s="18"/>
      <c r="N197" s="17"/>
      <c r="O197" s="18"/>
      <c r="P197" s="17"/>
      <c r="Q197" s="17"/>
      <c r="R197" s="18"/>
    </row>
    <row r="198" spans="1:18">
      <c r="A198" s="16"/>
      <c r="B198" s="16"/>
      <c r="C198" s="16"/>
      <c r="D198" s="16"/>
      <c r="E198" s="18"/>
      <c r="F198" s="18"/>
      <c r="G198" s="18"/>
      <c r="H198" s="18"/>
      <c r="I198" s="18"/>
      <c r="J198" s="20"/>
      <c r="K198" s="18"/>
      <c r="L198" s="18"/>
      <c r="M198" s="18"/>
      <c r="N198" s="17"/>
      <c r="O198" s="18"/>
      <c r="P198" s="17"/>
      <c r="Q198" s="17"/>
      <c r="R198" s="18"/>
    </row>
    <row r="199" spans="1:18">
      <c r="A199" s="16"/>
      <c r="B199" s="16"/>
      <c r="C199" s="16"/>
      <c r="D199" s="16"/>
      <c r="E199" s="18"/>
      <c r="F199" s="18"/>
      <c r="G199" s="18"/>
      <c r="H199" s="18"/>
      <c r="I199" s="18"/>
      <c r="J199" s="20"/>
      <c r="K199" s="18"/>
      <c r="L199" s="18"/>
      <c r="M199" s="18"/>
      <c r="N199" s="17"/>
      <c r="O199" s="18"/>
      <c r="P199" s="17"/>
      <c r="Q199" s="17"/>
      <c r="R199" s="18"/>
    </row>
    <row r="200" spans="1:18">
      <c r="A200" s="16"/>
      <c r="B200" s="16"/>
      <c r="C200" s="16"/>
      <c r="D200" s="16"/>
      <c r="E200" s="18"/>
      <c r="F200" s="18"/>
      <c r="G200" s="18"/>
      <c r="H200" s="18"/>
      <c r="I200" s="18"/>
      <c r="J200" s="20"/>
      <c r="K200" s="18"/>
      <c r="L200" s="18"/>
      <c r="M200" s="18"/>
      <c r="N200" s="17"/>
      <c r="O200" s="18"/>
      <c r="P200" s="17"/>
      <c r="Q200" s="17"/>
      <c r="R200" s="18"/>
    </row>
    <row r="201" spans="1:18">
      <c r="A201" s="16"/>
      <c r="B201" s="16"/>
      <c r="C201" s="16"/>
      <c r="D201" s="16"/>
      <c r="E201" s="18"/>
      <c r="F201" s="18"/>
      <c r="G201" s="18"/>
      <c r="H201" s="18"/>
      <c r="I201" s="18"/>
      <c r="J201" s="20"/>
      <c r="K201" s="18"/>
      <c r="L201" s="18"/>
      <c r="M201" s="18"/>
      <c r="N201" s="17"/>
      <c r="O201" s="18"/>
      <c r="P201" s="17"/>
      <c r="Q201" s="17"/>
      <c r="R201" s="18"/>
    </row>
    <row r="202" spans="1:18">
      <c r="A202" s="16"/>
      <c r="B202" s="16"/>
      <c r="C202" s="16"/>
      <c r="D202" s="16"/>
      <c r="E202" s="18"/>
      <c r="F202" s="18"/>
      <c r="G202" s="18"/>
      <c r="H202" s="18"/>
      <c r="I202" s="18"/>
      <c r="J202" s="20"/>
      <c r="K202" s="18"/>
      <c r="L202" s="18"/>
      <c r="M202" s="18"/>
      <c r="N202" s="17"/>
      <c r="O202" s="18"/>
      <c r="P202" s="17"/>
      <c r="Q202" s="17"/>
      <c r="R202" s="18"/>
    </row>
    <row r="203" spans="1:18" ht="18" customHeight="1">
      <c r="A203" s="89" t="s">
        <v>47</v>
      </c>
      <c r="B203" s="90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1"/>
    </row>
    <row r="204" spans="1:18" ht="18.75" customHeight="1">
      <c r="A204" s="80" t="s">
        <v>4</v>
      </c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</row>
    <row r="205" spans="1:18" ht="18" customHeight="1">
      <c r="A205" s="84" t="s">
        <v>29</v>
      </c>
      <c r="B205" s="83" t="s">
        <v>0</v>
      </c>
      <c r="C205" s="84" t="s">
        <v>38</v>
      </c>
      <c r="D205" s="83" t="s">
        <v>85</v>
      </c>
      <c r="E205" s="83" t="s">
        <v>2</v>
      </c>
      <c r="F205" s="85" t="s">
        <v>69</v>
      </c>
      <c r="G205" s="85" t="s">
        <v>70</v>
      </c>
      <c r="H205" s="85" t="s">
        <v>71</v>
      </c>
      <c r="I205" s="83" t="s">
        <v>3</v>
      </c>
      <c r="J205" s="15"/>
      <c r="K205" s="8" t="s">
        <v>72</v>
      </c>
      <c r="L205" s="8"/>
      <c r="M205" s="8"/>
      <c r="N205" s="8"/>
      <c r="O205" s="83" t="s">
        <v>73</v>
      </c>
      <c r="P205" s="83"/>
      <c r="Q205" s="83"/>
      <c r="R205" s="83"/>
    </row>
    <row r="206" spans="1:18" ht="15" customHeight="1">
      <c r="A206" s="84"/>
      <c r="B206" s="83"/>
      <c r="C206" s="84"/>
      <c r="D206" s="83"/>
      <c r="E206" s="83"/>
      <c r="F206" s="86"/>
      <c r="G206" s="86"/>
      <c r="H206" s="86"/>
      <c r="I206" s="83"/>
      <c r="J206" s="15"/>
      <c r="K206" s="30" t="s">
        <v>30</v>
      </c>
      <c r="L206" s="24" t="s">
        <v>31</v>
      </c>
      <c r="M206" s="24" t="s">
        <v>32</v>
      </c>
      <c r="N206" s="24" t="s">
        <v>33</v>
      </c>
      <c r="O206" s="24" t="s">
        <v>34</v>
      </c>
      <c r="P206" s="24" t="s">
        <v>79</v>
      </c>
      <c r="Q206" s="24" t="s">
        <v>36</v>
      </c>
      <c r="R206" s="24" t="s">
        <v>37</v>
      </c>
    </row>
    <row r="207" spans="1:18" ht="18" customHeight="1">
      <c r="A207" s="1">
        <v>210</v>
      </c>
      <c r="B207" s="32" t="s">
        <v>7</v>
      </c>
      <c r="C207" s="45" t="s">
        <v>42</v>
      </c>
      <c r="D207" s="1">
        <v>250</v>
      </c>
      <c r="E207" s="2">
        <v>72.75</v>
      </c>
      <c r="F207" s="2">
        <f>13.7*250/200</f>
        <v>17.125</v>
      </c>
      <c r="G207" s="2">
        <f>27.6*250/200</f>
        <v>34.5</v>
      </c>
      <c r="H207" s="2">
        <f>14.5*250/200</f>
        <v>18.125</v>
      </c>
      <c r="I207" s="2">
        <f>362.1*250/200</f>
        <v>452.625</v>
      </c>
      <c r="J207" s="49"/>
      <c r="K207" s="2">
        <f>113.9*250/200</f>
        <v>142.375</v>
      </c>
      <c r="L207" s="2">
        <f>19.5*250/200</f>
        <v>24.375</v>
      </c>
      <c r="M207" s="2">
        <f>259.8*250/200</f>
        <v>324.75</v>
      </c>
      <c r="N207" s="2">
        <f>3*250/200</f>
        <v>3.75</v>
      </c>
      <c r="O207" s="2">
        <f>339.8*250/200</f>
        <v>424.75</v>
      </c>
      <c r="P207" s="2">
        <f>0.2*250/200</f>
        <v>0.25</v>
      </c>
      <c r="Q207" s="2">
        <v>0</v>
      </c>
      <c r="R207" s="2">
        <f>0.3*250/200</f>
        <v>0.375</v>
      </c>
    </row>
    <row r="208" spans="1:18" ht="18" customHeight="1">
      <c r="A208" s="1">
        <v>376</v>
      </c>
      <c r="B208" s="1" t="s">
        <v>8</v>
      </c>
      <c r="C208" s="31" t="s">
        <v>16</v>
      </c>
      <c r="D208" s="1">
        <v>200</v>
      </c>
      <c r="E208" s="2">
        <v>1.63</v>
      </c>
      <c r="F208" s="2">
        <v>0.1</v>
      </c>
      <c r="G208" s="2">
        <v>0</v>
      </c>
      <c r="H208" s="2">
        <v>15</v>
      </c>
      <c r="I208" s="2">
        <v>60</v>
      </c>
      <c r="J208" s="49"/>
      <c r="K208" s="2">
        <v>5</v>
      </c>
      <c r="L208" s="2">
        <v>0</v>
      </c>
      <c r="M208" s="2">
        <v>0</v>
      </c>
      <c r="N208" s="2">
        <v>2</v>
      </c>
      <c r="O208" s="2">
        <v>0</v>
      </c>
      <c r="P208" s="2">
        <v>0</v>
      </c>
      <c r="Q208" s="2">
        <v>0</v>
      </c>
      <c r="R208" s="2">
        <v>0</v>
      </c>
    </row>
    <row r="209" spans="1:18" ht="18" customHeight="1">
      <c r="A209" s="1"/>
      <c r="B209" s="1" t="s">
        <v>9</v>
      </c>
      <c r="C209" s="31" t="s">
        <v>78</v>
      </c>
      <c r="D209" s="32">
        <v>40</v>
      </c>
      <c r="E209" s="35">
        <v>2.8</v>
      </c>
      <c r="F209" s="35">
        <v>3.16</v>
      </c>
      <c r="G209" s="35">
        <v>0.4</v>
      </c>
      <c r="H209" s="35">
        <v>19.32</v>
      </c>
      <c r="I209" s="35">
        <v>93.52</v>
      </c>
      <c r="J209" s="73"/>
      <c r="K209" s="35">
        <v>9.1999999999999993</v>
      </c>
      <c r="L209" s="35">
        <v>13.2</v>
      </c>
      <c r="M209" s="35">
        <v>34.799999999999997</v>
      </c>
      <c r="N209" s="35">
        <v>0.44</v>
      </c>
      <c r="O209" s="35">
        <v>0</v>
      </c>
      <c r="P209" s="35">
        <v>0.04</v>
      </c>
      <c r="Q209" s="35">
        <v>0.09</v>
      </c>
      <c r="R209" s="35">
        <v>0.1</v>
      </c>
    </row>
    <row r="210" spans="1:18" ht="18" customHeight="1">
      <c r="A210" s="1"/>
      <c r="B210" s="1" t="s">
        <v>13</v>
      </c>
      <c r="C210" s="31" t="s">
        <v>98</v>
      </c>
      <c r="D210" s="32">
        <v>60</v>
      </c>
      <c r="E210" s="35">
        <v>13.2</v>
      </c>
      <c r="F210" s="35">
        <v>3</v>
      </c>
      <c r="G210" s="35">
        <v>2.33</v>
      </c>
      <c r="H210" s="35">
        <v>37.5</v>
      </c>
      <c r="I210" s="35">
        <v>183.33</v>
      </c>
      <c r="J210" s="73"/>
      <c r="K210" s="35">
        <v>5</v>
      </c>
      <c r="L210" s="35">
        <v>5</v>
      </c>
      <c r="M210" s="35">
        <v>25</v>
      </c>
      <c r="N210" s="35">
        <v>0.33</v>
      </c>
      <c r="O210" s="35">
        <v>0</v>
      </c>
      <c r="P210" s="35">
        <v>0.03</v>
      </c>
      <c r="Q210" s="35">
        <v>0.33</v>
      </c>
      <c r="R210" s="35">
        <v>0</v>
      </c>
    </row>
    <row r="211" spans="1:18" ht="18" customHeight="1">
      <c r="A211" s="82" t="s">
        <v>11</v>
      </c>
      <c r="B211" s="82"/>
      <c r="C211" s="82"/>
      <c r="D211" s="24">
        <f>SUM(D207:D210)</f>
        <v>550</v>
      </c>
      <c r="E211" s="13">
        <f>SUM(E207:E210)</f>
        <v>90.38</v>
      </c>
      <c r="F211" s="13">
        <f t="shared" ref="F211:R211" si="21">SUM(F207:F210)</f>
        <v>23.385000000000002</v>
      </c>
      <c r="G211" s="13">
        <f t="shared" si="21"/>
        <v>37.229999999999997</v>
      </c>
      <c r="H211" s="13">
        <f t="shared" si="21"/>
        <v>89.944999999999993</v>
      </c>
      <c r="I211" s="13">
        <f t="shared" si="21"/>
        <v>789.47500000000002</v>
      </c>
      <c r="J211" s="13">
        <f t="shared" si="21"/>
        <v>0</v>
      </c>
      <c r="K211" s="13">
        <f t="shared" si="21"/>
        <v>161.57499999999999</v>
      </c>
      <c r="L211" s="13">
        <f t="shared" si="21"/>
        <v>42.575000000000003</v>
      </c>
      <c r="M211" s="13">
        <f t="shared" si="21"/>
        <v>384.55</v>
      </c>
      <c r="N211" s="13">
        <f t="shared" si="21"/>
        <v>6.5200000000000005</v>
      </c>
      <c r="O211" s="13">
        <f t="shared" si="21"/>
        <v>424.75</v>
      </c>
      <c r="P211" s="13">
        <f t="shared" si="21"/>
        <v>0.31999999999999995</v>
      </c>
      <c r="Q211" s="13">
        <f t="shared" si="21"/>
        <v>0.42000000000000004</v>
      </c>
      <c r="R211" s="13">
        <f t="shared" si="21"/>
        <v>0.47499999999999998</v>
      </c>
    </row>
    <row r="212" spans="1:18" ht="18" customHeight="1">
      <c r="A212" s="80" t="s">
        <v>12</v>
      </c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</row>
    <row r="213" spans="1:18" ht="18" customHeight="1">
      <c r="A213" s="84" t="s">
        <v>29</v>
      </c>
      <c r="B213" s="83" t="s">
        <v>0</v>
      </c>
      <c r="C213" s="84" t="s">
        <v>38</v>
      </c>
      <c r="D213" s="83" t="s">
        <v>85</v>
      </c>
      <c r="E213" s="83" t="s">
        <v>2</v>
      </c>
      <c r="F213" s="85" t="s">
        <v>69</v>
      </c>
      <c r="G213" s="85" t="s">
        <v>70</v>
      </c>
      <c r="H213" s="85" t="s">
        <v>71</v>
      </c>
      <c r="I213" s="83" t="s">
        <v>3</v>
      </c>
      <c r="J213" s="15"/>
      <c r="K213" s="8" t="s">
        <v>72</v>
      </c>
      <c r="L213" s="8"/>
      <c r="M213" s="8"/>
      <c r="N213" s="8"/>
      <c r="O213" s="83" t="s">
        <v>73</v>
      </c>
      <c r="P213" s="83"/>
      <c r="Q213" s="83"/>
      <c r="R213" s="83"/>
    </row>
    <row r="214" spans="1:18" ht="15" customHeight="1">
      <c r="A214" s="84"/>
      <c r="B214" s="83"/>
      <c r="C214" s="84"/>
      <c r="D214" s="83"/>
      <c r="E214" s="83"/>
      <c r="F214" s="86"/>
      <c r="G214" s="86"/>
      <c r="H214" s="86"/>
      <c r="I214" s="83"/>
      <c r="J214" s="15"/>
      <c r="K214" s="30" t="s">
        <v>30</v>
      </c>
      <c r="L214" s="24" t="s">
        <v>31</v>
      </c>
      <c r="M214" s="24" t="s">
        <v>32</v>
      </c>
      <c r="N214" s="24" t="s">
        <v>33</v>
      </c>
      <c r="O214" s="24" t="s">
        <v>34</v>
      </c>
      <c r="P214" s="24" t="s">
        <v>79</v>
      </c>
      <c r="Q214" s="24" t="s">
        <v>36</v>
      </c>
      <c r="R214" s="24" t="s">
        <v>37</v>
      </c>
    </row>
    <row r="215" spans="1:18" ht="18" customHeight="1">
      <c r="A215" s="28">
        <v>71</v>
      </c>
      <c r="B215" s="1" t="s">
        <v>7</v>
      </c>
      <c r="C215" s="5" t="s">
        <v>91</v>
      </c>
      <c r="D215" s="1">
        <v>100</v>
      </c>
      <c r="E215" s="1">
        <v>27.14</v>
      </c>
      <c r="F215" s="72">
        <v>1.2</v>
      </c>
      <c r="G215" s="72">
        <v>0.2</v>
      </c>
      <c r="H215" s="72">
        <v>4.5999999999999996</v>
      </c>
      <c r="I215" s="2">
        <v>26</v>
      </c>
      <c r="J215" s="49"/>
      <c r="K215" s="2">
        <v>14</v>
      </c>
      <c r="L215" s="2">
        <v>20</v>
      </c>
      <c r="M215" s="2">
        <v>0</v>
      </c>
      <c r="N215" s="2">
        <v>0.8</v>
      </c>
      <c r="O215" s="2">
        <v>0</v>
      </c>
      <c r="P215" s="2">
        <v>0</v>
      </c>
      <c r="Q215" s="2">
        <v>0</v>
      </c>
      <c r="R215" s="2">
        <v>17.5</v>
      </c>
    </row>
    <row r="216" spans="1:18" ht="27.75" customHeight="1">
      <c r="A216" s="1">
        <v>103</v>
      </c>
      <c r="B216" s="1" t="s">
        <v>8</v>
      </c>
      <c r="C216" s="4" t="s">
        <v>57</v>
      </c>
      <c r="D216" s="1">
        <v>250</v>
      </c>
      <c r="E216" s="2">
        <v>6.67</v>
      </c>
      <c r="F216" s="2">
        <f>2.15*250/200</f>
        <v>2.6875</v>
      </c>
      <c r="G216" s="2">
        <f>2.27*250/200</f>
        <v>2.8374999999999999</v>
      </c>
      <c r="H216" s="2">
        <f>13.96*250/200</f>
        <v>17.45</v>
      </c>
      <c r="I216" s="2">
        <f>94.6*250/200</f>
        <v>118.25</v>
      </c>
      <c r="J216" s="49"/>
      <c r="K216" s="2">
        <f>23.36*250/200</f>
        <v>29.2</v>
      </c>
      <c r="L216" s="2">
        <f>21.82*250/200</f>
        <v>27.274999999999999</v>
      </c>
      <c r="M216" s="2">
        <f>54.06*250/200</f>
        <v>67.575000000000003</v>
      </c>
      <c r="N216" s="2">
        <f>0.9*250/200</f>
        <v>1.125</v>
      </c>
      <c r="O216" s="2">
        <v>0</v>
      </c>
      <c r="P216" s="2">
        <f>0.09*250/200</f>
        <v>0.1125</v>
      </c>
      <c r="Q216" s="2">
        <f>0.946*250/200</f>
        <v>1.1825000000000001</v>
      </c>
      <c r="R216" s="2">
        <f>6.6*250/200</f>
        <v>8.25</v>
      </c>
    </row>
    <row r="217" spans="1:18" ht="18" customHeight="1">
      <c r="A217" s="32">
        <v>291</v>
      </c>
      <c r="B217" s="1" t="s">
        <v>9</v>
      </c>
      <c r="C217" s="5" t="s">
        <v>125</v>
      </c>
      <c r="D217" s="1" t="s">
        <v>121</v>
      </c>
      <c r="E217" s="2">
        <v>47.18</v>
      </c>
      <c r="F217" s="2">
        <v>29.8</v>
      </c>
      <c r="G217" s="2">
        <v>38</v>
      </c>
      <c r="H217" s="2">
        <v>48.2</v>
      </c>
      <c r="I217" s="2">
        <v>654</v>
      </c>
      <c r="J217" s="49"/>
      <c r="K217" s="2">
        <v>64.400000000000006</v>
      </c>
      <c r="L217" s="2">
        <v>67.8</v>
      </c>
      <c r="M217" s="2">
        <v>284.8</v>
      </c>
      <c r="N217" s="2">
        <v>3.2</v>
      </c>
      <c r="O217" s="2">
        <v>68.599999999999994</v>
      </c>
      <c r="P217" s="2">
        <v>0.03</v>
      </c>
      <c r="Q217" s="2">
        <v>0</v>
      </c>
      <c r="R217" s="2">
        <v>1.4</v>
      </c>
    </row>
    <row r="218" spans="1:18" ht="18" customHeight="1">
      <c r="A218" s="1">
        <v>348</v>
      </c>
      <c r="B218" s="1" t="s">
        <v>13</v>
      </c>
      <c r="C218" s="4" t="s">
        <v>21</v>
      </c>
      <c r="D218" s="1">
        <v>200</v>
      </c>
      <c r="E218" s="2">
        <v>11.88</v>
      </c>
      <c r="F218" s="2">
        <v>1</v>
      </c>
      <c r="G218" s="2">
        <v>0</v>
      </c>
      <c r="H218" s="2">
        <v>34</v>
      </c>
      <c r="I218" s="2">
        <v>140.19999999999999</v>
      </c>
      <c r="J218" s="49"/>
      <c r="K218" s="2">
        <v>32.5</v>
      </c>
      <c r="L218" s="2">
        <v>0</v>
      </c>
      <c r="M218" s="2">
        <v>0</v>
      </c>
      <c r="N218" s="2">
        <v>0.7</v>
      </c>
      <c r="O218" s="2">
        <v>0</v>
      </c>
      <c r="P218" s="2">
        <v>0.1</v>
      </c>
      <c r="Q218" s="2">
        <v>0</v>
      </c>
      <c r="R218" s="2">
        <v>0.8</v>
      </c>
    </row>
    <row r="219" spans="1:18" ht="18" customHeight="1">
      <c r="A219" s="1"/>
      <c r="B219" s="1" t="s">
        <v>15</v>
      </c>
      <c r="C219" s="4" t="s">
        <v>99</v>
      </c>
      <c r="D219" s="32">
        <v>40</v>
      </c>
      <c r="E219" s="2">
        <v>2.8</v>
      </c>
      <c r="F219" s="2">
        <v>2.2400000000000002</v>
      </c>
      <c r="G219" s="2">
        <v>0.44000000000000006</v>
      </c>
      <c r="H219" s="2">
        <v>19.759999999999998</v>
      </c>
      <c r="I219" s="2">
        <v>91.960000000000008</v>
      </c>
      <c r="J219" s="49"/>
      <c r="K219" s="2">
        <v>9.1999999999999993</v>
      </c>
      <c r="L219" s="2">
        <v>10</v>
      </c>
      <c r="M219" s="2">
        <v>42.4</v>
      </c>
      <c r="N219" s="2">
        <v>1.24</v>
      </c>
      <c r="O219" s="2">
        <v>0</v>
      </c>
      <c r="P219" s="2">
        <v>0.04</v>
      </c>
      <c r="Q219" s="2">
        <v>0</v>
      </c>
      <c r="R219" s="2">
        <v>0</v>
      </c>
    </row>
    <row r="220" spans="1:18" ht="18" customHeight="1">
      <c r="A220" s="1"/>
      <c r="B220" s="1" t="s">
        <v>81</v>
      </c>
      <c r="C220" s="27" t="s">
        <v>83</v>
      </c>
      <c r="D220" s="32">
        <v>70</v>
      </c>
      <c r="E220" s="35">
        <v>4.9000000000000004</v>
      </c>
      <c r="F220" s="2">
        <v>5.53</v>
      </c>
      <c r="G220" s="2">
        <v>0.7</v>
      </c>
      <c r="H220" s="2">
        <v>33.81</v>
      </c>
      <c r="I220" s="2">
        <v>163.66</v>
      </c>
      <c r="J220" s="49"/>
      <c r="K220" s="2">
        <v>16.100000000000001</v>
      </c>
      <c r="L220" s="2">
        <v>23.1</v>
      </c>
      <c r="M220" s="2">
        <v>60.9</v>
      </c>
      <c r="N220" s="2">
        <v>0.77</v>
      </c>
      <c r="O220" s="2">
        <v>0</v>
      </c>
      <c r="P220" s="2">
        <v>7.0000000000000007E-2</v>
      </c>
      <c r="Q220" s="2">
        <v>0</v>
      </c>
      <c r="R220" s="2">
        <v>0</v>
      </c>
    </row>
    <row r="221" spans="1:18" ht="18" customHeight="1">
      <c r="A221" s="1">
        <v>386</v>
      </c>
      <c r="B221" s="1">
        <v>8</v>
      </c>
      <c r="C221" s="27" t="s">
        <v>97</v>
      </c>
      <c r="D221" s="1">
        <v>100</v>
      </c>
      <c r="E221" s="2">
        <v>11.85</v>
      </c>
      <c r="F221" s="2">
        <v>2.7</v>
      </c>
      <c r="G221" s="2">
        <v>2.5</v>
      </c>
      <c r="H221" s="2">
        <v>10.8</v>
      </c>
      <c r="I221" s="2">
        <v>79</v>
      </c>
      <c r="J221" s="49"/>
      <c r="K221" s="2">
        <v>121</v>
      </c>
      <c r="L221" s="2">
        <v>15</v>
      </c>
      <c r="M221" s="2">
        <v>94</v>
      </c>
      <c r="N221" s="2">
        <v>0.1</v>
      </c>
      <c r="O221" s="2">
        <v>20</v>
      </c>
      <c r="P221" s="2">
        <v>4.4999999999999998E-2</v>
      </c>
      <c r="Q221" s="2">
        <v>0.1</v>
      </c>
      <c r="R221" s="2">
        <v>1.35</v>
      </c>
    </row>
    <row r="222" spans="1:18" ht="18" customHeight="1">
      <c r="A222" s="82" t="s">
        <v>11</v>
      </c>
      <c r="B222" s="82"/>
      <c r="C222" s="82"/>
      <c r="D222" s="63">
        <v>1040</v>
      </c>
      <c r="E222" s="13">
        <f t="shared" ref="E222:R222" si="22">SUM(E215:E221)</f>
        <v>112.42</v>
      </c>
      <c r="F222" s="13">
        <f t="shared" si="22"/>
        <v>45.157500000000006</v>
      </c>
      <c r="G222" s="13">
        <f t="shared" si="22"/>
        <v>44.677500000000002</v>
      </c>
      <c r="H222" s="13">
        <f t="shared" si="22"/>
        <v>168.62</v>
      </c>
      <c r="I222" s="13">
        <f t="shared" si="22"/>
        <v>1273.0700000000002</v>
      </c>
      <c r="J222" s="13">
        <f t="shared" si="22"/>
        <v>0</v>
      </c>
      <c r="K222" s="13">
        <f t="shared" si="22"/>
        <v>286.39999999999998</v>
      </c>
      <c r="L222" s="13">
        <f t="shared" si="22"/>
        <v>163.17499999999998</v>
      </c>
      <c r="M222" s="13">
        <f t="shared" si="22"/>
        <v>549.67499999999995</v>
      </c>
      <c r="N222" s="13">
        <f t="shared" si="22"/>
        <v>7.9350000000000005</v>
      </c>
      <c r="O222" s="13">
        <f t="shared" si="22"/>
        <v>88.6</v>
      </c>
      <c r="P222" s="13">
        <f t="shared" si="22"/>
        <v>0.39750000000000002</v>
      </c>
      <c r="Q222" s="13">
        <f t="shared" si="22"/>
        <v>1.2825000000000002</v>
      </c>
      <c r="R222" s="13">
        <f t="shared" si="22"/>
        <v>29.3</v>
      </c>
    </row>
    <row r="223" spans="1:18" ht="18" customHeight="1">
      <c r="A223" s="81" t="s">
        <v>17</v>
      </c>
      <c r="B223" s="81"/>
      <c r="C223" s="81"/>
      <c r="D223" s="81"/>
      <c r="E223" s="13">
        <f t="shared" ref="E223:R223" si="23">E211+E222</f>
        <v>202.8</v>
      </c>
      <c r="F223" s="13">
        <f t="shared" si="23"/>
        <v>68.542500000000004</v>
      </c>
      <c r="G223" s="13">
        <f t="shared" si="23"/>
        <v>81.907499999999999</v>
      </c>
      <c r="H223" s="13">
        <f t="shared" si="23"/>
        <v>258.565</v>
      </c>
      <c r="I223" s="13">
        <f t="shared" si="23"/>
        <v>2062.5450000000001</v>
      </c>
      <c r="J223" s="13">
        <f t="shared" si="23"/>
        <v>0</v>
      </c>
      <c r="K223" s="13">
        <f t="shared" si="23"/>
        <v>447.97499999999997</v>
      </c>
      <c r="L223" s="13">
        <f t="shared" si="23"/>
        <v>205.75</v>
      </c>
      <c r="M223" s="13">
        <f t="shared" si="23"/>
        <v>934.22499999999991</v>
      </c>
      <c r="N223" s="13">
        <f t="shared" si="23"/>
        <v>14.455000000000002</v>
      </c>
      <c r="O223" s="13">
        <f t="shared" si="23"/>
        <v>513.35</v>
      </c>
      <c r="P223" s="13">
        <f t="shared" si="23"/>
        <v>0.71750000000000003</v>
      </c>
      <c r="Q223" s="13">
        <f t="shared" si="23"/>
        <v>1.7025000000000001</v>
      </c>
      <c r="R223" s="13">
        <f t="shared" si="23"/>
        <v>29.775000000000002</v>
      </c>
    </row>
    <row r="224" spans="1:18">
      <c r="A224" s="16"/>
      <c r="B224" s="16"/>
      <c r="C224" s="16"/>
      <c r="D224" s="16"/>
      <c r="E224" s="18"/>
      <c r="F224" s="18"/>
      <c r="G224" s="18"/>
      <c r="H224" s="18"/>
      <c r="I224" s="18"/>
      <c r="J224" s="20"/>
      <c r="K224" s="17"/>
      <c r="L224" s="18"/>
      <c r="M224" s="18"/>
      <c r="N224" s="17"/>
      <c r="O224" s="17"/>
      <c r="P224" s="17"/>
      <c r="Q224" s="21"/>
      <c r="R224" s="18"/>
    </row>
    <row r="225" spans="1:18">
      <c r="A225" s="16"/>
      <c r="B225" s="16"/>
      <c r="C225" s="16"/>
      <c r="D225" s="16"/>
      <c r="E225" s="18"/>
      <c r="F225" s="18"/>
      <c r="G225" s="18"/>
      <c r="H225" s="18"/>
      <c r="I225" s="18"/>
      <c r="J225" s="20"/>
      <c r="K225" s="17"/>
      <c r="L225" s="18"/>
      <c r="M225" s="18"/>
      <c r="N225" s="17"/>
      <c r="O225" s="17"/>
      <c r="P225" s="17"/>
      <c r="Q225" s="21"/>
      <c r="R225" s="18"/>
    </row>
    <row r="226" spans="1:18">
      <c r="A226" s="16"/>
      <c r="B226" s="16"/>
      <c r="C226" s="16"/>
      <c r="D226" s="16"/>
      <c r="E226" s="18"/>
      <c r="F226" s="18"/>
      <c r="G226" s="18"/>
      <c r="H226" s="18"/>
      <c r="I226" s="18"/>
      <c r="J226" s="20"/>
      <c r="K226" s="17"/>
      <c r="L226" s="18"/>
      <c r="M226" s="18"/>
      <c r="N226" s="17"/>
      <c r="O226" s="17"/>
      <c r="P226" s="17"/>
      <c r="Q226" s="21"/>
      <c r="R226" s="18"/>
    </row>
    <row r="227" spans="1:18">
      <c r="A227" s="16"/>
      <c r="B227" s="16"/>
      <c r="C227" s="16"/>
      <c r="D227" s="16"/>
      <c r="E227" s="18"/>
      <c r="F227" s="18"/>
      <c r="G227" s="18"/>
      <c r="H227" s="18"/>
      <c r="I227" s="18"/>
      <c r="J227" s="20"/>
      <c r="K227" s="17"/>
      <c r="L227" s="18"/>
      <c r="M227" s="18"/>
      <c r="N227" s="17"/>
      <c r="O227" s="17"/>
      <c r="P227" s="17"/>
      <c r="Q227" s="21"/>
      <c r="R227" s="18"/>
    </row>
    <row r="228" spans="1:18">
      <c r="A228" s="16"/>
      <c r="B228" s="16"/>
      <c r="C228" s="16"/>
      <c r="D228" s="16"/>
      <c r="E228" s="18"/>
      <c r="F228" s="18"/>
      <c r="G228" s="18"/>
      <c r="H228" s="18"/>
      <c r="I228" s="18"/>
      <c r="J228" s="20"/>
      <c r="K228" s="17"/>
      <c r="L228" s="18"/>
      <c r="M228" s="18"/>
      <c r="N228" s="17"/>
      <c r="O228" s="17"/>
      <c r="P228" s="17"/>
      <c r="Q228" s="21"/>
      <c r="R228" s="18"/>
    </row>
    <row r="229" spans="1:18">
      <c r="A229" s="16"/>
      <c r="B229" s="16"/>
      <c r="C229" s="16"/>
      <c r="D229" s="16"/>
      <c r="E229" s="18"/>
      <c r="F229" s="18"/>
      <c r="G229" s="18"/>
      <c r="H229" s="18"/>
      <c r="I229" s="18"/>
      <c r="J229" s="20"/>
      <c r="K229" s="17"/>
      <c r="L229" s="18"/>
      <c r="M229" s="18"/>
      <c r="N229" s="17"/>
      <c r="O229" s="17"/>
      <c r="P229" s="17"/>
      <c r="Q229" s="21"/>
      <c r="R229" s="18"/>
    </row>
    <row r="230" spans="1:18">
      <c r="A230" s="16"/>
      <c r="B230" s="16"/>
      <c r="C230" s="16"/>
      <c r="D230" s="16"/>
      <c r="E230" s="18"/>
      <c r="F230" s="18"/>
      <c r="G230" s="18"/>
      <c r="H230" s="18"/>
      <c r="I230" s="18"/>
      <c r="J230" s="20"/>
      <c r="K230" s="17"/>
      <c r="L230" s="18"/>
      <c r="M230" s="18"/>
      <c r="N230" s="17"/>
      <c r="O230" s="17"/>
      <c r="P230" s="17"/>
      <c r="Q230" s="21"/>
      <c r="R230" s="18"/>
    </row>
    <row r="231" spans="1:18" ht="18" customHeight="1">
      <c r="A231" s="89" t="s">
        <v>48</v>
      </c>
      <c r="B231" s="90"/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1"/>
    </row>
    <row r="232" spans="1:18" ht="18.75" customHeight="1">
      <c r="A232" s="80" t="s">
        <v>4</v>
      </c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</row>
    <row r="233" spans="1:18" ht="18" customHeight="1">
      <c r="A233" s="84" t="s">
        <v>29</v>
      </c>
      <c r="B233" s="83" t="s">
        <v>0</v>
      </c>
      <c r="C233" s="84" t="s">
        <v>38</v>
      </c>
      <c r="D233" s="83" t="s">
        <v>85</v>
      </c>
      <c r="E233" s="83" t="s">
        <v>2</v>
      </c>
      <c r="F233" s="85" t="s">
        <v>69</v>
      </c>
      <c r="G233" s="85" t="s">
        <v>70</v>
      </c>
      <c r="H233" s="85" t="s">
        <v>71</v>
      </c>
      <c r="I233" s="83" t="s">
        <v>3</v>
      </c>
      <c r="J233" s="15"/>
      <c r="K233" s="8" t="s">
        <v>72</v>
      </c>
      <c r="L233" s="8"/>
      <c r="M233" s="8"/>
      <c r="N233" s="8"/>
      <c r="O233" s="83" t="s">
        <v>73</v>
      </c>
      <c r="P233" s="83"/>
      <c r="Q233" s="83"/>
      <c r="R233" s="83"/>
    </row>
    <row r="234" spans="1:18" ht="15" customHeight="1">
      <c r="A234" s="84"/>
      <c r="B234" s="83"/>
      <c r="C234" s="84"/>
      <c r="D234" s="83"/>
      <c r="E234" s="83"/>
      <c r="F234" s="86"/>
      <c r="G234" s="86"/>
      <c r="H234" s="86"/>
      <c r="I234" s="83"/>
      <c r="J234" s="15"/>
      <c r="K234" s="30" t="s">
        <v>30</v>
      </c>
      <c r="L234" s="24" t="s">
        <v>31</v>
      </c>
      <c r="M234" s="24" t="s">
        <v>32</v>
      </c>
      <c r="N234" s="24" t="s">
        <v>33</v>
      </c>
      <c r="O234" s="24" t="s">
        <v>34</v>
      </c>
      <c r="P234" s="24" t="s">
        <v>79</v>
      </c>
      <c r="Q234" s="24" t="s">
        <v>36</v>
      </c>
      <c r="R234" s="24" t="s">
        <v>37</v>
      </c>
    </row>
    <row r="235" spans="1:18" ht="30.75" customHeight="1">
      <c r="A235" s="28">
        <v>181</v>
      </c>
      <c r="B235" s="34" t="s">
        <v>7</v>
      </c>
      <c r="C235" s="4" t="s">
        <v>116</v>
      </c>
      <c r="D235" s="32" t="s">
        <v>94</v>
      </c>
      <c r="E235" s="2">
        <v>25.13</v>
      </c>
      <c r="F235" s="2">
        <f>6.1*260/210</f>
        <v>7.5523809523809522</v>
      </c>
      <c r="G235" s="2">
        <f>11.3*260/210</f>
        <v>13.990476190476191</v>
      </c>
      <c r="H235" s="2">
        <f>33.5*260/210</f>
        <v>41.476190476190474</v>
      </c>
      <c r="I235" s="2">
        <f>260*260/210</f>
        <v>321.90476190476193</v>
      </c>
      <c r="J235" s="74"/>
      <c r="K235" s="2">
        <f>192.2*260/210</f>
        <v>237.96190476190475</v>
      </c>
      <c r="L235" s="2">
        <f>23.5*260/210</f>
        <v>29.095238095238095</v>
      </c>
      <c r="M235" s="2">
        <f>156.1*260/210</f>
        <v>193.26666666666668</v>
      </c>
      <c r="N235" s="2">
        <f>0.3*260/210</f>
        <v>0.37142857142857144</v>
      </c>
      <c r="O235" s="2">
        <f>36.7*260/210</f>
        <v>45.438095238095237</v>
      </c>
      <c r="P235" s="2">
        <f>0.1*260/210</f>
        <v>0.12380952380952381</v>
      </c>
      <c r="Q235" s="2">
        <v>0</v>
      </c>
      <c r="R235" s="2">
        <f>1.1*260/210</f>
        <v>1.361904761904762</v>
      </c>
    </row>
    <row r="236" spans="1:18" ht="18" customHeight="1">
      <c r="A236" s="48"/>
      <c r="B236" s="1" t="s">
        <v>8</v>
      </c>
      <c r="C236" s="5" t="s">
        <v>78</v>
      </c>
      <c r="D236" s="1">
        <v>80</v>
      </c>
      <c r="E236" s="2">
        <v>5.6</v>
      </c>
      <c r="F236" s="2">
        <v>6.32</v>
      </c>
      <c r="G236" s="2">
        <v>0.8</v>
      </c>
      <c r="H236" s="2">
        <v>38.64</v>
      </c>
      <c r="I236" s="2">
        <v>187</v>
      </c>
      <c r="J236" s="49"/>
      <c r="K236" s="2">
        <v>18.399999999999999</v>
      </c>
      <c r="L236" s="2">
        <v>26.4</v>
      </c>
      <c r="M236" s="2">
        <v>69.599999999999994</v>
      </c>
      <c r="N236" s="2">
        <v>0.88</v>
      </c>
      <c r="O236" s="2">
        <v>0</v>
      </c>
      <c r="P236" s="2">
        <v>0.08</v>
      </c>
      <c r="Q236" s="2">
        <v>0.2</v>
      </c>
      <c r="R236" s="2">
        <v>0.2</v>
      </c>
    </row>
    <row r="237" spans="1:18" ht="18" customHeight="1">
      <c r="A237" s="28">
        <v>15</v>
      </c>
      <c r="B237" s="1" t="s">
        <v>9</v>
      </c>
      <c r="C237" s="31" t="s">
        <v>114</v>
      </c>
      <c r="D237" s="1">
        <v>10</v>
      </c>
      <c r="E237" s="2">
        <v>9.07</v>
      </c>
      <c r="F237" s="2">
        <v>2.3199999999999998</v>
      </c>
      <c r="G237" s="2">
        <v>2.95</v>
      </c>
      <c r="H237" s="2">
        <v>0</v>
      </c>
      <c r="I237" s="2">
        <v>35.83</v>
      </c>
      <c r="J237" s="49"/>
      <c r="K237" s="2">
        <v>88</v>
      </c>
      <c r="L237" s="2">
        <v>3.5</v>
      </c>
      <c r="M237" s="2">
        <v>50</v>
      </c>
      <c r="N237" s="2">
        <v>0.1</v>
      </c>
      <c r="O237" s="2">
        <v>26</v>
      </c>
      <c r="P237" s="2">
        <v>0</v>
      </c>
      <c r="Q237" s="2">
        <v>0</v>
      </c>
      <c r="R237" s="2">
        <v>0</v>
      </c>
    </row>
    <row r="238" spans="1:18" ht="18" customHeight="1">
      <c r="A238" s="59"/>
      <c r="B238" s="32" t="s">
        <v>13</v>
      </c>
      <c r="C238" s="69" t="s">
        <v>130</v>
      </c>
      <c r="D238" s="32">
        <v>160</v>
      </c>
      <c r="E238" s="35">
        <v>33.6</v>
      </c>
      <c r="F238" s="70">
        <v>1.22</v>
      </c>
      <c r="G238" s="70">
        <v>0.63</v>
      </c>
      <c r="H238" s="70">
        <v>12.8</v>
      </c>
      <c r="I238" s="35">
        <v>74.3</v>
      </c>
      <c r="J238" s="73"/>
      <c r="K238" s="35">
        <v>63.2</v>
      </c>
      <c r="L238" s="35">
        <v>39.5</v>
      </c>
      <c r="M238" s="35">
        <v>53.72</v>
      </c>
      <c r="N238" s="35">
        <v>1.26</v>
      </c>
      <c r="O238" s="35">
        <v>23.7</v>
      </c>
      <c r="P238" s="35">
        <v>3.2000000000000001E-2</v>
      </c>
      <c r="Q238" s="35">
        <v>0</v>
      </c>
      <c r="R238" s="35">
        <v>284.39999999999998</v>
      </c>
    </row>
    <row r="239" spans="1:18" ht="18" customHeight="1">
      <c r="A239" s="1">
        <v>382</v>
      </c>
      <c r="B239" s="34" t="s">
        <v>14</v>
      </c>
      <c r="C239" s="27" t="s">
        <v>10</v>
      </c>
      <c r="D239" s="1">
        <v>200</v>
      </c>
      <c r="E239" s="2">
        <v>12.46</v>
      </c>
      <c r="F239" s="2">
        <v>3.8</v>
      </c>
      <c r="G239" s="2">
        <v>3.2</v>
      </c>
      <c r="H239" s="2">
        <v>26.7</v>
      </c>
      <c r="I239" s="2">
        <v>150.80000000000001</v>
      </c>
      <c r="J239" s="49"/>
      <c r="K239" s="2">
        <v>179.4</v>
      </c>
      <c r="L239" s="2">
        <v>26.1</v>
      </c>
      <c r="M239" s="2">
        <v>179</v>
      </c>
      <c r="N239" s="2">
        <v>0.9</v>
      </c>
      <c r="O239" s="2">
        <v>0</v>
      </c>
      <c r="P239" s="2">
        <v>11.1</v>
      </c>
      <c r="Q239" s="2">
        <v>0.2</v>
      </c>
      <c r="R239" s="2">
        <v>1.9</v>
      </c>
    </row>
    <row r="240" spans="1:18" ht="18" customHeight="1">
      <c r="A240" s="82" t="s">
        <v>11</v>
      </c>
      <c r="B240" s="82"/>
      <c r="C240" s="82"/>
      <c r="D240" s="24">
        <v>710</v>
      </c>
      <c r="E240" s="13">
        <f>SUM(E234:E239)</f>
        <v>85.860000000000014</v>
      </c>
      <c r="F240" s="13">
        <f>SUM(F234:F239)</f>
        <v>21.212380952380951</v>
      </c>
      <c r="G240" s="13">
        <f>SUM(G234:G239)</f>
        <v>21.570476190476189</v>
      </c>
      <c r="H240" s="13">
        <f>SUM(H234:H239)</f>
        <v>119.61619047619047</v>
      </c>
      <c r="I240" s="13">
        <f>SUM(I234:I239)</f>
        <v>769.83476190476199</v>
      </c>
      <c r="J240" s="49"/>
      <c r="K240" s="13">
        <f t="shared" ref="K240:R240" si="24">SUM(K235:K239)</f>
        <v>586.96190476190475</v>
      </c>
      <c r="L240" s="13">
        <f t="shared" si="24"/>
        <v>124.5952380952381</v>
      </c>
      <c r="M240" s="13">
        <f t="shared" si="24"/>
        <v>545.5866666666667</v>
      </c>
      <c r="N240" s="13">
        <f t="shared" si="24"/>
        <v>3.5114285714285711</v>
      </c>
      <c r="O240" s="13">
        <f t="shared" si="24"/>
        <v>95.138095238095232</v>
      </c>
      <c r="P240" s="13">
        <f t="shared" si="24"/>
        <v>11.335809523809523</v>
      </c>
      <c r="Q240" s="13">
        <f t="shared" si="24"/>
        <v>0.4</v>
      </c>
      <c r="R240" s="13">
        <f t="shared" si="24"/>
        <v>287.86190476190473</v>
      </c>
    </row>
    <row r="241" spans="1:18" ht="18" customHeight="1">
      <c r="A241" s="80" t="s">
        <v>12</v>
      </c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</row>
    <row r="242" spans="1:18" ht="18" customHeight="1">
      <c r="A242" s="84" t="s">
        <v>29</v>
      </c>
      <c r="B242" s="83" t="s">
        <v>0</v>
      </c>
      <c r="C242" s="84" t="s">
        <v>38</v>
      </c>
      <c r="D242" s="83" t="s">
        <v>85</v>
      </c>
      <c r="E242" s="83" t="s">
        <v>2</v>
      </c>
      <c r="F242" s="85" t="s">
        <v>69</v>
      </c>
      <c r="G242" s="85" t="s">
        <v>70</v>
      </c>
      <c r="H242" s="85" t="s">
        <v>71</v>
      </c>
      <c r="I242" s="83" t="s">
        <v>3</v>
      </c>
      <c r="J242" s="15"/>
      <c r="K242" s="8" t="s">
        <v>72</v>
      </c>
      <c r="L242" s="8"/>
      <c r="M242" s="8"/>
      <c r="N242" s="8"/>
      <c r="O242" s="83" t="s">
        <v>73</v>
      </c>
      <c r="P242" s="83"/>
      <c r="Q242" s="83"/>
      <c r="R242" s="83"/>
    </row>
    <row r="243" spans="1:18" ht="15" customHeight="1">
      <c r="A243" s="84"/>
      <c r="B243" s="83"/>
      <c r="C243" s="84"/>
      <c r="D243" s="83"/>
      <c r="E243" s="83"/>
      <c r="F243" s="86"/>
      <c r="G243" s="86"/>
      <c r="H243" s="86"/>
      <c r="I243" s="83"/>
      <c r="J243" s="15"/>
      <c r="K243" s="30" t="s">
        <v>30</v>
      </c>
      <c r="L243" s="24" t="s">
        <v>31</v>
      </c>
      <c r="M243" s="24" t="s">
        <v>32</v>
      </c>
      <c r="N243" s="24" t="s">
        <v>33</v>
      </c>
      <c r="O243" s="24" t="s">
        <v>34</v>
      </c>
      <c r="P243" s="24" t="s">
        <v>79</v>
      </c>
      <c r="Q243" s="24" t="s">
        <v>36</v>
      </c>
      <c r="R243" s="24" t="s">
        <v>37</v>
      </c>
    </row>
    <row r="244" spans="1:18" ht="18" customHeight="1">
      <c r="A244" s="28">
        <v>71</v>
      </c>
      <c r="B244" s="1" t="s">
        <v>7</v>
      </c>
      <c r="C244" s="5" t="s">
        <v>92</v>
      </c>
      <c r="D244" s="1">
        <v>100</v>
      </c>
      <c r="E244" s="1">
        <v>23.67</v>
      </c>
      <c r="F244" s="72">
        <v>0.8</v>
      </c>
      <c r="G244" s="72">
        <v>0</v>
      </c>
      <c r="H244" s="72">
        <v>3.3</v>
      </c>
      <c r="I244" s="2">
        <v>16</v>
      </c>
      <c r="J244" s="49"/>
      <c r="K244" s="2">
        <v>23</v>
      </c>
      <c r="L244" s="2">
        <v>0</v>
      </c>
      <c r="M244" s="2">
        <v>0</v>
      </c>
      <c r="N244" s="2">
        <v>0.5</v>
      </c>
      <c r="O244" s="2">
        <v>0</v>
      </c>
      <c r="P244" s="2">
        <v>0</v>
      </c>
      <c r="Q244" s="2">
        <v>0</v>
      </c>
      <c r="R244" s="2">
        <v>5</v>
      </c>
    </row>
    <row r="245" spans="1:18" ht="18" customHeight="1">
      <c r="A245" s="1">
        <v>102</v>
      </c>
      <c r="B245" s="1" t="s">
        <v>8</v>
      </c>
      <c r="C245" s="4" t="s">
        <v>89</v>
      </c>
      <c r="D245" s="1">
        <v>250</v>
      </c>
      <c r="E245" s="1">
        <v>6.32</v>
      </c>
      <c r="F245" s="2">
        <f>5.1*250/200</f>
        <v>6.375</v>
      </c>
      <c r="G245" s="2">
        <f>5.4*250/200</f>
        <v>6.75</v>
      </c>
      <c r="H245" s="2">
        <f>23.9*250/200</f>
        <v>29.875</v>
      </c>
      <c r="I245" s="2">
        <f>163.8*250/200</f>
        <v>204.75</v>
      </c>
      <c r="J245" s="74"/>
      <c r="K245" s="2">
        <f>45.8*250/200</f>
        <v>57.25</v>
      </c>
      <c r="L245" s="2">
        <f>35.5*250/200</f>
        <v>44.375</v>
      </c>
      <c r="M245" s="2">
        <v>0</v>
      </c>
      <c r="N245" s="2">
        <f>4.6*250/200</f>
        <v>5.75</v>
      </c>
      <c r="O245" s="2">
        <v>0</v>
      </c>
      <c r="P245" s="2">
        <v>0</v>
      </c>
      <c r="Q245" s="2">
        <v>0</v>
      </c>
      <c r="R245" s="2">
        <f>11.2*250/200</f>
        <v>14</v>
      </c>
    </row>
    <row r="246" spans="1:18" ht="18" customHeight="1">
      <c r="A246" s="1">
        <v>279</v>
      </c>
      <c r="B246" s="32" t="s">
        <v>9</v>
      </c>
      <c r="C246" s="45" t="s">
        <v>54</v>
      </c>
      <c r="D246" s="32" t="s">
        <v>100</v>
      </c>
      <c r="E246" s="32">
        <v>52.12</v>
      </c>
      <c r="F246" s="35">
        <v>11.666666666666666</v>
      </c>
      <c r="G246" s="35">
        <v>19.111111111111111</v>
      </c>
      <c r="H246" s="2">
        <v>17.333333333333332</v>
      </c>
      <c r="I246" s="2">
        <v>287</v>
      </c>
      <c r="J246" s="74"/>
      <c r="K246" s="2">
        <v>56.222222222222221</v>
      </c>
      <c r="L246" s="2">
        <v>27.666666666666668</v>
      </c>
      <c r="M246" s="2">
        <v>137.55555555555554</v>
      </c>
      <c r="N246" s="2">
        <v>1.2222222222222223</v>
      </c>
      <c r="O246" s="2">
        <v>49.666666666666664</v>
      </c>
      <c r="P246" s="2">
        <v>3.5000000000000003E-2</v>
      </c>
      <c r="Q246" s="2">
        <v>0</v>
      </c>
      <c r="R246" s="2">
        <v>1.2222222222222223</v>
      </c>
    </row>
    <row r="247" spans="1:18" ht="18" customHeight="1">
      <c r="A247" s="1">
        <v>143</v>
      </c>
      <c r="B247" s="32" t="s">
        <v>13</v>
      </c>
      <c r="C247" s="45" t="s">
        <v>58</v>
      </c>
      <c r="D247" s="32">
        <v>180</v>
      </c>
      <c r="E247" s="35">
        <v>20.7</v>
      </c>
      <c r="F247" s="35">
        <v>2.52</v>
      </c>
      <c r="G247" s="35">
        <v>14.52</v>
      </c>
      <c r="H247" s="2">
        <v>18.600000000000001</v>
      </c>
      <c r="I247" s="2">
        <v>214.32</v>
      </c>
      <c r="J247" s="49"/>
      <c r="K247" s="2">
        <v>28.68</v>
      </c>
      <c r="L247" s="2">
        <v>33.36</v>
      </c>
      <c r="M247" s="2">
        <v>74.16</v>
      </c>
      <c r="N247" s="2">
        <v>1.1759999999999999</v>
      </c>
      <c r="O247" s="2">
        <v>37.200000000000003</v>
      </c>
      <c r="P247" s="2">
        <v>8.4000000000000005E-2</v>
      </c>
      <c r="Q247" s="2">
        <v>0</v>
      </c>
      <c r="R247" s="2">
        <v>10.404</v>
      </c>
    </row>
    <row r="248" spans="1:18" ht="18" customHeight="1">
      <c r="A248" s="1">
        <v>1041</v>
      </c>
      <c r="B248" s="1" t="s">
        <v>14</v>
      </c>
      <c r="C248" s="4" t="s">
        <v>62</v>
      </c>
      <c r="D248" s="1">
        <v>200</v>
      </c>
      <c r="E248" s="2">
        <v>6.41</v>
      </c>
      <c r="F248" s="2">
        <v>0.1</v>
      </c>
      <c r="G248" s="2">
        <v>0</v>
      </c>
      <c r="H248" s="2">
        <v>27.1</v>
      </c>
      <c r="I248" s="2">
        <v>108.6</v>
      </c>
      <c r="J248" s="74"/>
      <c r="K248" s="2">
        <v>23.52</v>
      </c>
      <c r="L248" s="2">
        <v>0</v>
      </c>
      <c r="M248" s="55">
        <v>0</v>
      </c>
      <c r="N248" s="2">
        <v>0.24</v>
      </c>
      <c r="O248" s="55">
        <v>0</v>
      </c>
      <c r="P248" s="55">
        <v>0.03</v>
      </c>
      <c r="Q248" s="55">
        <v>0</v>
      </c>
      <c r="R248" s="55">
        <v>12.9</v>
      </c>
    </row>
    <row r="249" spans="1:18" ht="18" customHeight="1">
      <c r="A249" s="1"/>
      <c r="B249" s="1" t="s">
        <v>15</v>
      </c>
      <c r="C249" s="4" t="s">
        <v>99</v>
      </c>
      <c r="D249" s="32">
        <v>40</v>
      </c>
      <c r="E249" s="2">
        <v>2.8</v>
      </c>
      <c r="F249" s="2">
        <v>1.68</v>
      </c>
      <c r="G249" s="2">
        <v>0.33</v>
      </c>
      <c r="H249" s="2">
        <v>14.82</v>
      </c>
      <c r="I249" s="2">
        <v>68.97</v>
      </c>
      <c r="J249" s="74"/>
      <c r="K249" s="2">
        <v>6.9</v>
      </c>
      <c r="L249" s="2">
        <v>7.5</v>
      </c>
      <c r="M249" s="55">
        <v>31.799999999999997</v>
      </c>
      <c r="N249" s="2">
        <v>0.92999999999999994</v>
      </c>
      <c r="O249" s="55">
        <v>0</v>
      </c>
      <c r="P249" s="55">
        <v>0.03</v>
      </c>
      <c r="Q249" s="55">
        <v>0</v>
      </c>
      <c r="R249" s="55">
        <v>0</v>
      </c>
    </row>
    <row r="250" spans="1:18" ht="18" customHeight="1">
      <c r="A250" s="1"/>
      <c r="B250" s="1" t="s">
        <v>81</v>
      </c>
      <c r="C250" s="27" t="s">
        <v>83</v>
      </c>
      <c r="D250" s="32">
        <v>70</v>
      </c>
      <c r="E250" s="35">
        <v>4.9000000000000004</v>
      </c>
      <c r="F250" s="2">
        <v>2.37</v>
      </c>
      <c r="G250" s="2">
        <v>0.3</v>
      </c>
      <c r="H250" s="2">
        <v>14.49</v>
      </c>
      <c r="I250" s="2">
        <v>70.14</v>
      </c>
      <c r="J250" s="49"/>
      <c r="K250" s="2">
        <v>6.8999999999999995</v>
      </c>
      <c r="L250" s="2">
        <v>9.8999999999999986</v>
      </c>
      <c r="M250" s="2">
        <v>26.099999999999998</v>
      </c>
      <c r="N250" s="2">
        <v>0.33</v>
      </c>
      <c r="O250" s="2">
        <v>0</v>
      </c>
      <c r="P250" s="2">
        <v>0.03</v>
      </c>
      <c r="Q250" s="2">
        <v>0</v>
      </c>
      <c r="R250" s="2">
        <v>0</v>
      </c>
    </row>
    <row r="251" spans="1:18" ht="18" customHeight="1">
      <c r="A251" s="1">
        <v>386</v>
      </c>
      <c r="B251" s="1" t="s">
        <v>95</v>
      </c>
      <c r="C251" s="27" t="s">
        <v>96</v>
      </c>
      <c r="D251" s="1">
        <v>100</v>
      </c>
      <c r="E251" s="2">
        <v>11.85</v>
      </c>
      <c r="F251" s="2">
        <v>3</v>
      </c>
      <c r="G251" s="2">
        <v>1</v>
      </c>
      <c r="H251" s="2">
        <v>4.2</v>
      </c>
      <c r="I251" s="2">
        <v>40</v>
      </c>
      <c r="J251" s="49"/>
      <c r="K251" s="2">
        <v>124</v>
      </c>
      <c r="L251" s="2">
        <v>14</v>
      </c>
      <c r="M251" s="2">
        <v>92</v>
      </c>
      <c r="N251" s="2">
        <v>0.1</v>
      </c>
      <c r="O251" s="2">
        <v>0</v>
      </c>
      <c r="P251" s="2">
        <v>0.03</v>
      </c>
      <c r="Q251" s="2">
        <v>0.1</v>
      </c>
      <c r="R251" s="2">
        <v>0.3</v>
      </c>
    </row>
    <row r="252" spans="1:18" ht="18" customHeight="1">
      <c r="A252" s="82" t="s">
        <v>11</v>
      </c>
      <c r="B252" s="82"/>
      <c r="C252" s="82"/>
      <c r="D252" s="24">
        <v>1090</v>
      </c>
      <c r="E252" s="24">
        <f t="shared" ref="E252:R252" si="25">SUM(E244:E251)</f>
        <v>128.77000000000001</v>
      </c>
      <c r="F252" s="64">
        <f t="shared" si="25"/>
        <v>28.511666666666667</v>
      </c>
      <c r="G252" s="64">
        <f t="shared" si="25"/>
        <v>42.011111111111106</v>
      </c>
      <c r="H252" s="64">
        <f t="shared" si="25"/>
        <v>129.71833333333331</v>
      </c>
      <c r="I252" s="64">
        <f t="shared" si="25"/>
        <v>1009.78</v>
      </c>
      <c r="J252" s="64">
        <f t="shared" si="25"/>
        <v>0</v>
      </c>
      <c r="K252" s="64">
        <f t="shared" si="25"/>
        <v>326.47222222222229</v>
      </c>
      <c r="L252" s="64">
        <f t="shared" si="25"/>
        <v>136.80166666666668</v>
      </c>
      <c r="M252" s="64">
        <f t="shared" si="25"/>
        <v>361.61555555555555</v>
      </c>
      <c r="N252" s="64">
        <f t="shared" si="25"/>
        <v>10.248222222222221</v>
      </c>
      <c r="O252" s="64">
        <f t="shared" si="25"/>
        <v>86.866666666666674</v>
      </c>
      <c r="P252" s="64">
        <f t="shared" si="25"/>
        <v>0.23900000000000002</v>
      </c>
      <c r="Q252" s="64">
        <f t="shared" si="25"/>
        <v>0.1</v>
      </c>
      <c r="R252" s="13">
        <f t="shared" si="25"/>
        <v>43.826222222222221</v>
      </c>
    </row>
    <row r="253" spans="1:18" ht="18" customHeight="1">
      <c r="A253" s="81" t="s">
        <v>17</v>
      </c>
      <c r="B253" s="81"/>
      <c r="C253" s="81"/>
      <c r="D253" s="81"/>
      <c r="E253" s="13">
        <f>E240+E252</f>
        <v>214.63000000000002</v>
      </c>
      <c r="F253" s="13">
        <f t="shared" ref="F253:R253" si="26">F240+F252</f>
        <v>49.724047619047617</v>
      </c>
      <c r="G253" s="13">
        <f t="shared" si="26"/>
        <v>63.581587301587291</v>
      </c>
      <c r="H253" s="13">
        <f t="shared" si="26"/>
        <v>249.33452380952377</v>
      </c>
      <c r="I253" s="13">
        <f t="shared" si="26"/>
        <v>1779.614761904762</v>
      </c>
      <c r="J253" s="13">
        <f t="shared" si="26"/>
        <v>0</v>
      </c>
      <c r="K253" s="13">
        <f t="shared" si="26"/>
        <v>913.43412698412703</v>
      </c>
      <c r="L253" s="13">
        <f t="shared" si="26"/>
        <v>261.39690476190481</v>
      </c>
      <c r="M253" s="13">
        <f t="shared" si="26"/>
        <v>907.20222222222219</v>
      </c>
      <c r="N253" s="13">
        <f t="shared" si="26"/>
        <v>13.759650793650792</v>
      </c>
      <c r="O253" s="13">
        <f t="shared" si="26"/>
        <v>182.00476190476189</v>
      </c>
      <c r="P253" s="13">
        <f t="shared" si="26"/>
        <v>11.574809523809524</v>
      </c>
      <c r="Q253" s="13">
        <f t="shared" si="26"/>
        <v>0.5</v>
      </c>
      <c r="R253" s="13">
        <f t="shared" si="26"/>
        <v>331.68812698412694</v>
      </c>
    </row>
    <row r="254" spans="1:18">
      <c r="A254" s="16"/>
      <c r="B254" s="16"/>
      <c r="C254" s="16"/>
      <c r="D254" s="16"/>
      <c r="E254" s="18"/>
      <c r="F254" s="18"/>
      <c r="G254" s="18"/>
      <c r="H254" s="18"/>
      <c r="I254" s="18"/>
      <c r="J254" s="20"/>
      <c r="K254" s="17"/>
      <c r="L254" s="18"/>
      <c r="M254" s="17"/>
      <c r="N254" s="17"/>
      <c r="O254" s="18"/>
      <c r="P254" s="17"/>
      <c r="Q254" s="17"/>
      <c r="R254" s="18"/>
    </row>
    <row r="255" spans="1:18">
      <c r="A255" s="16"/>
      <c r="B255" s="16"/>
      <c r="C255" s="16"/>
      <c r="D255" s="16"/>
      <c r="E255" s="18"/>
      <c r="F255" s="18"/>
      <c r="G255" s="18"/>
      <c r="H255" s="18"/>
      <c r="I255" s="18"/>
      <c r="J255" s="20"/>
      <c r="K255" s="17"/>
      <c r="L255" s="18"/>
      <c r="M255" s="17"/>
      <c r="N255" s="17"/>
      <c r="O255" s="18"/>
      <c r="P255" s="17"/>
      <c r="Q255" s="17"/>
      <c r="R255" s="18"/>
    </row>
    <row r="256" spans="1:18">
      <c r="A256" s="16"/>
      <c r="B256" s="16"/>
      <c r="C256" s="16"/>
      <c r="D256" s="16"/>
      <c r="E256" s="18"/>
      <c r="F256" s="18"/>
      <c r="G256" s="18"/>
      <c r="H256" s="18"/>
      <c r="I256" s="18"/>
      <c r="J256" s="20"/>
      <c r="K256" s="17"/>
      <c r="L256" s="18"/>
      <c r="M256" s="17"/>
      <c r="N256" s="17"/>
      <c r="O256" s="18"/>
      <c r="P256" s="17"/>
      <c r="Q256" s="17"/>
      <c r="R256" s="18"/>
    </row>
    <row r="257" spans="1:18">
      <c r="A257" s="16"/>
      <c r="B257" s="16"/>
      <c r="C257" s="16"/>
      <c r="D257" s="16"/>
      <c r="E257" s="18"/>
      <c r="F257" s="18"/>
      <c r="G257" s="18"/>
      <c r="H257" s="18"/>
      <c r="I257" s="18"/>
      <c r="J257" s="20"/>
      <c r="K257" s="17"/>
      <c r="L257" s="18"/>
      <c r="M257" s="17"/>
      <c r="N257" s="17"/>
      <c r="O257" s="18"/>
      <c r="P257" s="17"/>
      <c r="Q257" s="17"/>
      <c r="R257" s="18"/>
    </row>
    <row r="258" spans="1:18">
      <c r="A258" s="16"/>
      <c r="B258" s="16"/>
      <c r="C258" s="16"/>
      <c r="D258" s="16"/>
      <c r="E258" s="18"/>
      <c r="F258" s="18"/>
      <c r="G258" s="18"/>
      <c r="H258" s="18"/>
      <c r="I258" s="18"/>
      <c r="J258" s="20"/>
      <c r="K258" s="17"/>
      <c r="L258" s="18"/>
      <c r="M258" s="17"/>
      <c r="N258" s="17"/>
      <c r="O258" s="18"/>
      <c r="P258" s="17"/>
      <c r="Q258" s="17"/>
      <c r="R258" s="18"/>
    </row>
    <row r="259" spans="1:18">
      <c r="A259" s="16"/>
      <c r="B259" s="16"/>
      <c r="C259" s="16"/>
      <c r="D259" s="16"/>
      <c r="E259" s="18"/>
      <c r="F259" s="18"/>
      <c r="G259" s="18"/>
      <c r="H259" s="18"/>
      <c r="I259" s="18"/>
      <c r="J259" s="20"/>
      <c r="K259" s="17"/>
      <c r="L259" s="18"/>
      <c r="M259" s="17"/>
      <c r="N259" s="17"/>
      <c r="O259" s="18"/>
      <c r="P259" s="17"/>
      <c r="Q259" s="17"/>
      <c r="R259" s="18"/>
    </row>
    <row r="260" spans="1:18">
      <c r="A260" s="16"/>
      <c r="B260" s="16"/>
      <c r="C260" s="16"/>
      <c r="D260" s="16"/>
      <c r="E260" s="18"/>
      <c r="F260" s="18"/>
      <c r="G260" s="18"/>
      <c r="H260" s="18"/>
      <c r="I260" s="18"/>
      <c r="J260" s="20"/>
      <c r="K260" s="17"/>
      <c r="L260" s="18"/>
      <c r="M260" s="17"/>
      <c r="N260" s="17"/>
      <c r="O260" s="18"/>
      <c r="P260" s="17"/>
      <c r="Q260" s="17"/>
      <c r="R260" s="18"/>
    </row>
    <row r="261" spans="1:18">
      <c r="A261" s="16"/>
      <c r="B261" s="16"/>
      <c r="C261" s="16"/>
      <c r="D261" s="16"/>
      <c r="E261" s="18"/>
      <c r="F261" s="18"/>
      <c r="G261" s="18"/>
      <c r="H261" s="18"/>
      <c r="I261" s="18"/>
      <c r="J261" s="20"/>
      <c r="K261" s="17"/>
      <c r="L261" s="18"/>
      <c r="M261" s="17"/>
      <c r="N261" s="17"/>
      <c r="O261" s="18"/>
      <c r="P261" s="17"/>
      <c r="Q261" s="17"/>
      <c r="R261" s="18"/>
    </row>
    <row r="262" spans="1:18" ht="18" customHeight="1">
      <c r="A262" s="89" t="s">
        <v>49</v>
      </c>
      <c r="B262" s="90"/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1"/>
    </row>
    <row r="263" spans="1:18" ht="18.75" customHeight="1">
      <c r="A263" s="80" t="s">
        <v>4</v>
      </c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</row>
    <row r="264" spans="1:18" ht="18" customHeight="1">
      <c r="A264" s="84" t="s">
        <v>29</v>
      </c>
      <c r="B264" s="83" t="s">
        <v>0</v>
      </c>
      <c r="C264" s="84" t="s">
        <v>38</v>
      </c>
      <c r="D264" s="83" t="s">
        <v>1</v>
      </c>
      <c r="E264" s="83" t="s">
        <v>2</v>
      </c>
      <c r="F264" s="85" t="s">
        <v>69</v>
      </c>
      <c r="G264" s="85" t="s">
        <v>70</v>
      </c>
      <c r="H264" s="85" t="s">
        <v>71</v>
      </c>
      <c r="I264" s="83" t="s">
        <v>3</v>
      </c>
      <c r="J264" s="15"/>
      <c r="K264" s="8" t="s">
        <v>72</v>
      </c>
      <c r="L264" s="8"/>
      <c r="M264" s="8"/>
      <c r="N264" s="8"/>
      <c r="O264" s="83" t="s">
        <v>73</v>
      </c>
      <c r="P264" s="83"/>
      <c r="Q264" s="83"/>
      <c r="R264" s="83"/>
    </row>
    <row r="265" spans="1:18" ht="15" customHeight="1">
      <c r="A265" s="84"/>
      <c r="B265" s="83"/>
      <c r="C265" s="84"/>
      <c r="D265" s="83"/>
      <c r="E265" s="83"/>
      <c r="F265" s="86"/>
      <c r="G265" s="86"/>
      <c r="H265" s="86"/>
      <c r="I265" s="83"/>
      <c r="J265" s="15"/>
      <c r="K265" s="30" t="s">
        <v>30</v>
      </c>
      <c r="L265" s="24" t="s">
        <v>31</v>
      </c>
      <c r="M265" s="24" t="s">
        <v>32</v>
      </c>
      <c r="N265" s="24" t="s">
        <v>33</v>
      </c>
      <c r="O265" s="24" t="s">
        <v>34</v>
      </c>
      <c r="P265" s="24" t="s">
        <v>79</v>
      </c>
      <c r="Q265" s="24" t="s">
        <v>36</v>
      </c>
      <c r="R265" s="24" t="s">
        <v>37</v>
      </c>
    </row>
    <row r="266" spans="1:18" ht="28.5" customHeight="1">
      <c r="A266" s="58" t="s">
        <v>127</v>
      </c>
      <c r="B266" s="37" t="s">
        <v>7</v>
      </c>
      <c r="C266" s="46" t="s">
        <v>88</v>
      </c>
      <c r="D266" s="1" t="s">
        <v>101</v>
      </c>
      <c r="E266" s="1">
        <v>31.65</v>
      </c>
      <c r="F266" s="72">
        <v>8.6</v>
      </c>
      <c r="G266" s="72">
        <v>11.4</v>
      </c>
      <c r="H266" s="72">
        <v>9.06</v>
      </c>
      <c r="I266" s="2">
        <v>172.8</v>
      </c>
      <c r="J266" s="49"/>
      <c r="K266" s="2">
        <v>71</v>
      </c>
      <c r="L266" s="2">
        <v>15.7</v>
      </c>
      <c r="M266" s="2">
        <v>72.45</v>
      </c>
      <c r="N266" s="2">
        <v>26.13</v>
      </c>
      <c r="O266" s="2">
        <v>0.1</v>
      </c>
      <c r="P266" s="2">
        <v>0.13</v>
      </c>
      <c r="Q266" s="2">
        <v>2.6</v>
      </c>
      <c r="R266" s="2">
        <v>0.81</v>
      </c>
    </row>
    <row r="267" spans="1:18" ht="18" customHeight="1">
      <c r="A267" s="1">
        <v>309</v>
      </c>
      <c r="B267" s="32" t="s">
        <v>8</v>
      </c>
      <c r="C267" s="44" t="s">
        <v>112</v>
      </c>
      <c r="D267" s="32">
        <v>180</v>
      </c>
      <c r="E267" s="2">
        <v>11.92</v>
      </c>
      <c r="F267" s="2">
        <f>5.52*180/150</f>
        <v>6.6239999999999997</v>
      </c>
      <c r="G267" s="2">
        <f>4.5*180/150</f>
        <v>5.4</v>
      </c>
      <c r="H267" s="2">
        <f>26.45*180/150</f>
        <v>31.74</v>
      </c>
      <c r="I267" s="2">
        <f>168.45*180/150</f>
        <v>202.14</v>
      </c>
      <c r="J267" s="55"/>
      <c r="K267" s="2">
        <f>4.86*180/150</f>
        <v>5.8320000000000007</v>
      </c>
      <c r="L267" s="2">
        <f>21.12*180/150</f>
        <v>25.344000000000001</v>
      </c>
      <c r="M267" s="2">
        <f>37.17*180/150</f>
        <v>44.603999999999999</v>
      </c>
      <c r="N267" s="2">
        <f>1.1025*180/150</f>
        <v>1.3230000000000002</v>
      </c>
      <c r="O267" s="2">
        <v>0</v>
      </c>
      <c r="P267" s="2">
        <f>0.0525*180/150</f>
        <v>6.3E-2</v>
      </c>
      <c r="Q267" s="2">
        <f>0.78*180/150</f>
        <v>0.93600000000000005</v>
      </c>
      <c r="R267" s="2">
        <v>0</v>
      </c>
    </row>
    <row r="268" spans="1:18" ht="18" customHeight="1">
      <c r="A268" s="28">
        <v>15</v>
      </c>
      <c r="B268" s="1" t="s">
        <v>9</v>
      </c>
      <c r="C268" s="31" t="s">
        <v>114</v>
      </c>
      <c r="D268" s="1">
        <v>10</v>
      </c>
      <c r="E268" s="2">
        <v>9.07</v>
      </c>
      <c r="F268" s="2">
        <v>2.3199999999999998</v>
      </c>
      <c r="G268" s="2">
        <v>2.95</v>
      </c>
      <c r="H268" s="2">
        <v>0</v>
      </c>
      <c r="I268" s="2">
        <v>35.83</v>
      </c>
      <c r="J268" s="49"/>
      <c r="K268" s="2">
        <v>88</v>
      </c>
      <c r="L268" s="2">
        <v>3.5</v>
      </c>
      <c r="M268" s="2">
        <v>50</v>
      </c>
      <c r="N268" s="2">
        <v>0.1</v>
      </c>
      <c r="O268" s="2">
        <v>26</v>
      </c>
      <c r="P268" s="2">
        <v>0</v>
      </c>
      <c r="Q268" s="2">
        <v>0</v>
      </c>
      <c r="R268" s="2">
        <v>0</v>
      </c>
    </row>
    <row r="269" spans="1:18" ht="18" customHeight="1">
      <c r="A269" s="1"/>
      <c r="B269" s="1" t="s">
        <v>13</v>
      </c>
      <c r="C269" s="5" t="s">
        <v>78</v>
      </c>
      <c r="D269" s="1">
        <v>40</v>
      </c>
      <c r="E269" s="2">
        <v>2.8</v>
      </c>
      <c r="F269" s="2">
        <v>3.16</v>
      </c>
      <c r="G269" s="2">
        <v>0.4</v>
      </c>
      <c r="H269" s="2">
        <v>19.32</v>
      </c>
      <c r="I269" s="2">
        <v>93.52</v>
      </c>
      <c r="J269" s="55"/>
      <c r="K269" s="2">
        <v>9.1999999999999993</v>
      </c>
      <c r="L269" s="2">
        <v>13.2</v>
      </c>
      <c r="M269" s="2">
        <v>34.799999999999997</v>
      </c>
      <c r="N269" s="2">
        <v>0.44</v>
      </c>
      <c r="O269" s="2">
        <v>0</v>
      </c>
      <c r="P269" s="2">
        <v>0.04</v>
      </c>
      <c r="Q269" s="2">
        <v>0.09</v>
      </c>
      <c r="R269" s="2">
        <v>0.1</v>
      </c>
    </row>
    <row r="270" spans="1:18" ht="18" customHeight="1">
      <c r="A270" s="1">
        <v>379</v>
      </c>
      <c r="B270" s="1" t="s">
        <v>14</v>
      </c>
      <c r="C270" s="6" t="s">
        <v>18</v>
      </c>
      <c r="D270" s="1">
        <v>200</v>
      </c>
      <c r="E270" s="2">
        <v>13.86</v>
      </c>
      <c r="F270" s="2">
        <v>3.6</v>
      </c>
      <c r="G270" s="2">
        <v>2.7</v>
      </c>
      <c r="H270" s="2">
        <v>28.3</v>
      </c>
      <c r="I270" s="2">
        <v>151.80000000000001</v>
      </c>
      <c r="J270" s="55"/>
      <c r="K270" s="2">
        <v>100.3</v>
      </c>
      <c r="L270" s="2">
        <v>11.7</v>
      </c>
      <c r="M270" s="2">
        <v>75</v>
      </c>
      <c r="N270" s="2">
        <v>0.1</v>
      </c>
      <c r="O270" s="2">
        <v>0</v>
      </c>
      <c r="P270" s="2">
        <v>4.7</v>
      </c>
      <c r="Q270" s="2">
        <v>0.1</v>
      </c>
      <c r="R270" s="2">
        <v>1.1000000000000001</v>
      </c>
    </row>
    <row r="271" spans="1:18" ht="18" customHeight="1">
      <c r="A271" s="82" t="s">
        <v>11</v>
      </c>
      <c r="B271" s="82"/>
      <c r="C271" s="82"/>
      <c r="D271" s="24">
        <v>550</v>
      </c>
      <c r="E271" s="13">
        <f t="shared" ref="E271:R271" si="27">SUM(E266:E270)</f>
        <v>69.3</v>
      </c>
      <c r="F271" s="13">
        <f t="shared" si="27"/>
        <v>24.304000000000002</v>
      </c>
      <c r="G271" s="13">
        <f t="shared" si="27"/>
        <v>22.849999999999998</v>
      </c>
      <c r="H271" s="13">
        <f t="shared" si="27"/>
        <v>88.42</v>
      </c>
      <c r="I271" s="13">
        <f t="shared" si="27"/>
        <v>656.08999999999992</v>
      </c>
      <c r="J271" s="13">
        <f t="shared" si="27"/>
        <v>0</v>
      </c>
      <c r="K271" s="13">
        <f t="shared" si="27"/>
        <v>274.33199999999999</v>
      </c>
      <c r="L271" s="13">
        <f t="shared" si="27"/>
        <v>69.444000000000003</v>
      </c>
      <c r="M271" s="13">
        <f t="shared" si="27"/>
        <v>276.85399999999998</v>
      </c>
      <c r="N271" s="13">
        <f t="shared" si="27"/>
        <v>28.093000000000004</v>
      </c>
      <c r="O271" s="13">
        <f t="shared" si="27"/>
        <v>26.1</v>
      </c>
      <c r="P271" s="13">
        <f t="shared" si="27"/>
        <v>4.9329999999999998</v>
      </c>
      <c r="Q271" s="13">
        <f t="shared" si="27"/>
        <v>3.726</v>
      </c>
      <c r="R271" s="13">
        <f t="shared" si="27"/>
        <v>2.0100000000000002</v>
      </c>
    </row>
    <row r="272" spans="1:18" ht="18" customHeight="1">
      <c r="A272" s="80" t="s">
        <v>12</v>
      </c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</row>
    <row r="273" spans="1:18" ht="18" customHeight="1">
      <c r="A273" s="84" t="s">
        <v>29</v>
      </c>
      <c r="B273" s="83" t="s">
        <v>0</v>
      </c>
      <c r="C273" s="84" t="s">
        <v>38</v>
      </c>
      <c r="D273" s="83" t="s">
        <v>1</v>
      </c>
      <c r="E273" s="83" t="s">
        <v>2</v>
      </c>
      <c r="F273" s="85" t="s">
        <v>69</v>
      </c>
      <c r="G273" s="85" t="s">
        <v>70</v>
      </c>
      <c r="H273" s="85" t="s">
        <v>71</v>
      </c>
      <c r="I273" s="83" t="s">
        <v>3</v>
      </c>
      <c r="J273" s="15"/>
      <c r="K273" s="8" t="s">
        <v>72</v>
      </c>
      <c r="L273" s="8"/>
      <c r="M273" s="8"/>
      <c r="N273" s="8"/>
      <c r="O273" s="83" t="s">
        <v>73</v>
      </c>
      <c r="P273" s="83"/>
      <c r="Q273" s="83"/>
      <c r="R273" s="83"/>
    </row>
    <row r="274" spans="1:18" ht="15" customHeight="1">
      <c r="A274" s="84"/>
      <c r="B274" s="83"/>
      <c r="C274" s="84"/>
      <c r="D274" s="83"/>
      <c r="E274" s="83"/>
      <c r="F274" s="86"/>
      <c r="G274" s="86"/>
      <c r="H274" s="86"/>
      <c r="I274" s="83"/>
      <c r="J274" s="15"/>
      <c r="K274" s="30" t="s">
        <v>30</v>
      </c>
      <c r="L274" s="24" t="s">
        <v>31</v>
      </c>
      <c r="M274" s="24" t="s">
        <v>32</v>
      </c>
      <c r="N274" s="24" t="s">
        <v>33</v>
      </c>
      <c r="O274" s="24" t="s">
        <v>34</v>
      </c>
      <c r="P274" s="24" t="s">
        <v>79</v>
      </c>
      <c r="Q274" s="24" t="s">
        <v>36</v>
      </c>
      <c r="R274" s="24" t="s">
        <v>37</v>
      </c>
    </row>
    <row r="275" spans="1:18" ht="18" customHeight="1">
      <c r="A275" s="28">
        <v>71</v>
      </c>
      <c r="B275" s="1">
        <v>1</v>
      </c>
      <c r="C275" s="5" t="s">
        <v>91</v>
      </c>
      <c r="D275" s="32">
        <v>100</v>
      </c>
      <c r="E275" s="1">
        <v>27.14</v>
      </c>
      <c r="F275" s="72">
        <v>1.2</v>
      </c>
      <c r="G275" s="72">
        <v>0.2</v>
      </c>
      <c r="H275" s="72">
        <v>4.5999999999999996</v>
      </c>
      <c r="I275" s="2">
        <v>26</v>
      </c>
      <c r="J275" s="49"/>
      <c r="K275" s="2">
        <v>14</v>
      </c>
      <c r="L275" s="2">
        <v>20</v>
      </c>
      <c r="M275" s="2">
        <v>0</v>
      </c>
      <c r="N275" s="2">
        <v>0.8</v>
      </c>
      <c r="O275" s="2">
        <v>0</v>
      </c>
      <c r="P275" s="2">
        <v>0</v>
      </c>
      <c r="Q275" s="2">
        <v>0</v>
      </c>
      <c r="R275" s="2">
        <v>17.5</v>
      </c>
    </row>
    <row r="276" spans="1:18" ht="30.75" customHeight="1">
      <c r="A276" s="1">
        <v>88</v>
      </c>
      <c r="B276" s="1" t="s">
        <v>8</v>
      </c>
      <c r="C276" s="4" t="s">
        <v>19</v>
      </c>
      <c r="D276" s="32">
        <v>250</v>
      </c>
      <c r="E276" s="1">
        <v>8.07</v>
      </c>
      <c r="F276" s="2">
        <v>1.6</v>
      </c>
      <c r="G276" s="2">
        <v>4.9000000000000004</v>
      </c>
      <c r="H276" s="2">
        <v>11.5</v>
      </c>
      <c r="I276" s="2">
        <v>96.8</v>
      </c>
      <c r="J276" s="74"/>
      <c r="K276" s="2">
        <v>75.2</v>
      </c>
      <c r="L276" s="2">
        <v>14.7</v>
      </c>
      <c r="M276" s="2">
        <v>34.200000000000003</v>
      </c>
      <c r="N276" s="2">
        <v>1.0249999999999999</v>
      </c>
      <c r="O276" s="2">
        <v>1</v>
      </c>
      <c r="P276" s="2">
        <v>5.5</v>
      </c>
      <c r="Q276" s="2">
        <v>0.6</v>
      </c>
      <c r="R276" s="2">
        <v>9.5</v>
      </c>
    </row>
    <row r="277" spans="1:18" ht="18" customHeight="1">
      <c r="A277" s="1">
        <v>268</v>
      </c>
      <c r="B277" s="1" t="s">
        <v>9</v>
      </c>
      <c r="C277" s="4" t="s">
        <v>25</v>
      </c>
      <c r="D277" s="32">
        <v>100</v>
      </c>
      <c r="E277" s="2">
        <v>51</v>
      </c>
      <c r="F277" s="2">
        <v>14.8</v>
      </c>
      <c r="G277" s="2">
        <v>19.399999999999999</v>
      </c>
      <c r="H277" s="2">
        <v>22.2</v>
      </c>
      <c r="I277" s="2">
        <v>322</v>
      </c>
      <c r="J277" s="49"/>
      <c r="K277" s="2">
        <v>43.7</v>
      </c>
      <c r="L277" s="2">
        <v>32.1</v>
      </c>
      <c r="M277" s="2">
        <v>166.4</v>
      </c>
      <c r="N277" s="2">
        <v>1</v>
      </c>
      <c r="O277" s="2">
        <v>28.7</v>
      </c>
      <c r="P277" s="2">
        <v>0.1</v>
      </c>
      <c r="Q277" s="2">
        <v>0</v>
      </c>
      <c r="R277" s="2">
        <v>0.1</v>
      </c>
    </row>
    <row r="278" spans="1:18" ht="18" customHeight="1">
      <c r="A278" s="1">
        <v>198</v>
      </c>
      <c r="B278" s="1" t="s">
        <v>13</v>
      </c>
      <c r="C278" s="31" t="s">
        <v>115</v>
      </c>
      <c r="D278" s="32">
        <v>180</v>
      </c>
      <c r="E278" s="32">
        <v>16.39</v>
      </c>
      <c r="F278" s="2">
        <v>15.587999999999999</v>
      </c>
      <c r="G278" s="2">
        <v>7.823999999999999</v>
      </c>
      <c r="H278" s="2">
        <v>40.020000000000003</v>
      </c>
      <c r="I278" s="2">
        <v>291.43200000000002</v>
      </c>
      <c r="J278" s="49"/>
      <c r="K278" s="2">
        <v>108.24</v>
      </c>
      <c r="L278" s="2">
        <v>70.512</v>
      </c>
      <c r="M278" s="2">
        <v>243.51600000000002</v>
      </c>
      <c r="N278" s="2">
        <v>5.3760000000000003</v>
      </c>
      <c r="O278" s="2">
        <v>34.283999999999999</v>
      </c>
      <c r="P278" s="2">
        <v>0.56399999999999995</v>
      </c>
      <c r="Q278" s="2">
        <v>1.1759999999999999</v>
      </c>
      <c r="R278" s="2">
        <v>0</v>
      </c>
    </row>
    <row r="279" spans="1:18" ht="18" customHeight="1">
      <c r="A279" s="1">
        <v>349</v>
      </c>
      <c r="B279" s="1" t="s">
        <v>14</v>
      </c>
      <c r="C279" s="4" t="s">
        <v>60</v>
      </c>
      <c r="D279" s="1">
        <v>200</v>
      </c>
      <c r="E279" s="2">
        <v>5.48</v>
      </c>
      <c r="F279" s="2">
        <v>0.1</v>
      </c>
      <c r="G279" s="2">
        <v>0</v>
      </c>
      <c r="H279" s="2">
        <v>21.8</v>
      </c>
      <c r="I279" s="2">
        <v>87.6</v>
      </c>
      <c r="J279" s="49"/>
      <c r="K279" s="2">
        <v>19.5</v>
      </c>
      <c r="L279" s="2">
        <v>30.1</v>
      </c>
      <c r="M279" s="2">
        <v>31.9</v>
      </c>
      <c r="N279" s="2">
        <v>0.5</v>
      </c>
      <c r="O279" s="2">
        <v>0.2</v>
      </c>
      <c r="P279" s="2">
        <v>0.01</v>
      </c>
      <c r="Q279" s="2">
        <v>0.3</v>
      </c>
      <c r="R279" s="2">
        <v>0.8</v>
      </c>
    </row>
    <row r="280" spans="1:18" ht="18" customHeight="1">
      <c r="A280" s="1"/>
      <c r="B280" s="1" t="s">
        <v>15</v>
      </c>
      <c r="C280" s="4" t="s">
        <v>99</v>
      </c>
      <c r="D280" s="32">
        <v>40</v>
      </c>
      <c r="E280" s="2">
        <v>2.8</v>
      </c>
      <c r="F280" s="2">
        <v>1.68</v>
      </c>
      <c r="G280" s="2">
        <v>0.33</v>
      </c>
      <c r="H280" s="2">
        <v>14.82</v>
      </c>
      <c r="I280" s="2">
        <v>68.97</v>
      </c>
      <c r="J280" s="49"/>
      <c r="K280" s="2">
        <v>6.9</v>
      </c>
      <c r="L280" s="2">
        <v>7.5</v>
      </c>
      <c r="M280" s="2">
        <v>31.799999999999997</v>
      </c>
      <c r="N280" s="2">
        <v>0.92999999999999994</v>
      </c>
      <c r="O280" s="2">
        <v>0</v>
      </c>
      <c r="P280" s="2">
        <v>0.03</v>
      </c>
      <c r="Q280" s="2">
        <v>0</v>
      </c>
      <c r="R280" s="2">
        <v>0</v>
      </c>
    </row>
    <row r="281" spans="1:18" ht="18" customHeight="1">
      <c r="A281" s="1"/>
      <c r="B281" s="1" t="s">
        <v>81</v>
      </c>
      <c r="C281" s="27" t="s">
        <v>83</v>
      </c>
      <c r="D281" s="32">
        <v>70</v>
      </c>
      <c r="E281" s="35">
        <v>4.9000000000000004</v>
      </c>
      <c r="F281" s="2">
        <v>2.37</v>
      </c>
      <c r="G281" s="2">
        <v>0.3</v>
      </c>
      <c r="H281" s="2">
        <v>14.49</v>
      </c>
      <c r="I281" s="2">
        <v>70.14</v>
      </c>
      <c r="J281" s="49"/>
      <c r="K281" s="2">
        <v>6.8999999999999995</v>
      </c>
      <c r="L281" s="2">
        <v>9.8999999999999986</v>
      </c>
      <c r="M281" s="2">
        <v>26.099999999999998</v>
      </c>
      <c r="N281" s="2">
        <v>0.33</v>
      </c>
      <c r="O281" s="2">
        <v>0</v>
      </c>
      <c r="P281" s="2">
        <v>0.03</v>
      </c>
      <c r="Q281" s="2">
        <v>0</v>
      </c>
      <c r="R281" s="2">
        <v>0</v>
      </c>
    </row>
    <row r="282" spans="1:18" ht="18" customHeight="1">
      <c r="A282" s="1">
        <v>386</v>
      </c>
      <c r="B282" s="1" t="s">
        <v>95</v>
      </c>
      <c r="C282" s="27" t="s">
        <v>97</v>
      </c>
      <c r="D282" s="1">
        <v>100</v>
      </c>
      <c r="E282" s="2">
        <v>11.85</v>
      </c>
      <c r="F282" s="2">
        <v>2.7</v>
      </c>
      <c r="G282" s="2">
        <v>2.5</v>
      </c>
      <c r="H282" s="2">
        <v>10.8</v>
      </c>
      <c r="I282" s="2">
        <v>79</v>
      </c>
      <c r="J282" s="49"/>
      <c r="K282" s="2">
        <v>121</v>
      </c>
      <c r="L282" s="2">
        <v>15</v>
      </c>
      <c r="M282" s="2">
        <v>94</v>
      </c>
      <c r="N282" s="2">
        <v>0.1</v>
      </c>
      <c r="O282" s="2">
        <v>20</v>
      </c>
      <c r="P282" s="2">
        <v>4.4999999999999998E-2</v>
      </c>
      <c r="Q282" s="2">
        <v>0.1</v>
      </c>
      <c r="R282" s="2">
        <v>1.35</v>
      </c>
    </row>
    <row r="283" spans="1:18" ht="18" customHeight="1">
      <c r="A283" s="82" t="s">
        <v>11</v>
      </c>
      <c r="B283" s="82"/>
      <c r="C283" s="82"/>
      <c r="D283" s="24">
        <f>SUM(D275:D282)</f>
        <v>1040</v>
      </c>
      <c r="E283" s="24">
        <f t="shared" ref="E283:R283" si="28">SUM(E275:E282)</f>
        <v>127.63000000000001</v>
      </c>
      <c r="F283" s="13">
        <f t="shared" si="28"/>
        <v>40.038000000000004</v>
      </c>
      <c r="G283" s="13">
        <f t="shared" si="28"/>
        <v>35.453999999999994</v>
      </c>
      <c r="H283" s="13">
        <f t="shared" si="28"/>
        <v>140.23000000000002</v>
      </c>
      <c r="I283" s="13">
        <f t="shared" si="28"/>
        <v>1041.942</v>
      </c>
      <c r="J283" s="13">
        <f t="shared" si="28"/>
        <v>0</v>
      </c>
      <c r="K283" s="13">
        <f t="shared" si="28"/>
        <v>395.43999999999994</v>
      </c>
      <c r="L283" s="13">
        <f t="shared" si="28"/>
        <v>199.81200000000001</v>
      </c>
      <c r="M283" s="13">
        <f t="shared" si="28"/>
        <v>627.91600000000005</v>
      </c>
      <c r="N283" s="13">
        <f t="shared" si="28"/>
        <v>10.061</v>
      </c>
      <c r="O283" s="13">
        <f t="shared" si="28"/>
        <v>84.183999999999997</v>
      </c>
      <c r="P283" s="13">
        <f t="shared" si="28"/>
        <v>6.2789999999999999</v>
      </c>
      <c r="Q283" s="13">
        <f t="shared" si="28"/>
        <v>2.1759999999999997</v>
      </c>
      <c r="R283" s="13">
        <f t="shared" si="28"/>
        <v>29.250000000000004</v>
      </c>
    </row>
    <row r="284" spans="1:18" ht="18" customHeight="1">
      <c r="A284" s="81" t="s">
        <v>17</v>
      </c>
      <c r="B284" s="81"/>
      <c r="C284" s="81"/>
      <c r="D284" s="81"/>
      <c r="E284" s="13">
        <f>E271+E283</f>
        <v>196.93</v>
      </c>
      <c r="F284" s="13">
        <f>F271+F283</f>
        <v>64.342000000000013</v>
      </c>
      <c r="G284" s="13">
        <f>G271+G283</f>
        <v>58.303999999999988</v>
      </c>
      <c r="H284" s="13">
        <f>H271+H283</f>
        <v>228.65000000000003</v>
      </c>
      <c r="I284" s="13">
        <f>I271+I283</f>
        <v>1698.0319999999999</v>
      </c>
      <c r="J284" s="49"/>
      <c r="K284" s="13">
        <f t="shared" ref="K284:R284" si="29">K271+K283</f>
        <v>669.77199999999993</v>
      </c>
      <c r="L284" s="13">
        <f t="shared" si="29"/>
        <v>269.25600000000003</v>
      </c>
      <c r="M284" s="13">
        <f t="shared" si="29"/>
        <v>904.77</v>
      </c>
      <c r="N284" s="13">
        <f t="shared" si="29"/>
        <v>38.154000000000003</v>
      </c>
      <c r="O284" s="13">
        <f t="shared" si="29"/>
        <v>110.28399999999999</v>
      </c>
      <c r="P284" s="13">
        <f t="shared" si="29"/>
        <v>11.212</v>
      </c>
      <c r="Q284" s="13">
        <f t="shared" si="29"/>
        <v>5.9019999999999992</v>
      </c>
      <c r="R284" s="13">
        <f t="shared" si="29"/>
        <v>31.260000000000005</v>
      </c>
    </row>
    <row r="285" spans="1:18">
      <c r="A285" s="22"/>
      <c r="B285" s="22"/>
      <c r="C285" s="22"/>
      <c r="D285" s="22"/>
      <c r="E285" s="23"/>
      <c r="F285" s="23"/>
      <c r="G285" s="23"/>
      <c r="H285" s="23"/>
      <c r="I285" s="23"/>
      <c r="K285" s="23"/>
      <c r="L285" s="9"/>
      <c r="M285" s="23"/>
      <c r="N285" s="23"/>
      <c r="O285" s="23"/>
      <c r="P285" s="9"/>
      <c r="Q285" s="9"/>
      <c r="R285" s="23"/>
    </row>
    <row r="286" spans="1:18">
      <c r="A286" s="22"/>
      <c r="B286" s="22"/>
      <c r="C286" s="22"/>
      <c r="D286" s="22"/>
      <c r="E286" s="23"/>
      <c r="F286" s="23"/>
      <c r="G286" s="23"/>
      <c r="H286" s="23"/>
      <c r="I286" s="23"/>
      <c r="K286" s="23"/>
      <c r="L286" s="9"/>
      <c r="M286" s="23"/>
      <c r="N286" s="23"/>
      <c r="O286" s="23"/>
      <c r="P286" s="9"/>
      <c r="Q286" s="9"/>
      <c r="R286" s="23"/>
    </row>
    <row r="287" spans="1:18">
      <c r="A287" s="22"/>
      <c r="B287" s="22"/>
      <c r="C287" s="22"/>
      <c r="D287" s="22"/>
      <c r="E287" s="23"/>
      <c r="F287" s="23"/>
      <c r="G287" s="23"/>
      <c r="H287" s="23"/>
      <c r="I287" s="23"/>
      <c r="K287" s="23"/>
      <c r="L287" s="9"/>
      <c r="M287" s="23"/>
      <c r="N287" s="23"/>
      <c r="O287" s="23"/>
      <c r="P287" s="9"/>
      <c r="Q287" s="9"/>
      <c r="R287" s="23"/>
    </row>
    <row r="288" spans="1:18">
      <c r="A288" s="22"/>
      <c r="B288" s="22"/>
      <c r="C288" s="22"/>
      <c r="D288" s="22"/>
      <c r="E288" s="23"/>
      <c r="F288" s="23"/>
      <c r="G288" s="23"/>
      <c r="H288" s="23"/>
      <c r="I288" s="23"/>
      <c r="K288" s="23"/>
      <c r="L288" s="9"/>
      <c r="M288" s="23"/>
      <c r="N288" s="23"/>
      <c r="O288" s="23"/>
      <c r="P288" s="9"/>
      <c r="Q288" s="9"/>
      <c r="R288" s="23"/>
    </row>
    <row r="289" spans="1:18">
      <c r="A289" s="22"/>
      <c r="B289" s="22"/>
      <c r="C289" s="22"/>
      <c r="D289" s="22"/>
      <c r="E289" s="23"/>
      <c r="F289" s="23"/>
      <c r="G289" s="23"/>
      <c r="H289" s="23"/>
      <c r="I289" s="23"/>
      <c r="K289" s="23"/>
      <c r="L289" s="9"/>
      <c r="M289" s="23"/>
      <c r="N289" s="23"/>
      <c r="O289" s="23"/>
      <c r="P289" s="9"/>
      <c r="Q289" s="9"/>
      <c r="R289" s="23"/>
    </row>
    <row r="290" spans="1:18">
      <c r="A290" s="22"/>
      <c r="B290" s="22"/>
      <c r="C290" s="22"/>
      <c r="D290" s="22"/>
      <c r="E290" s="23"/>
      <c r="F290" s="23"/>
      <c r="G290" s="23"/>
      <c r="H290" s="23"/>
      <c r="I290" s="23"/>
      <c r="K290" s="23"/>
      <c r="L290" s="9"/>
      <c r="M290" s="23"/>
      <c r="N290" s="23"/>
      <c r="O290" s="23"/>
      <c r="P290" s="9"/>
      <c r="Q290" s="9"/>
      <c r="R290" s="23"/>
    </row>
    <row r="291" spans="1:18" ht="18" customHeight="1">
      <c r="A291" s="118" t="s">
        <v>50</v>
      </c>
      <c r="B291" s="119"/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  <c r="P291" s="119"/>
      <c r="Q291" s="119"/>
      <c r="R291" s="120"/>
    </row>
    <row r="292" spans="1:18" ht="18.75" customHeight="1">
      <c r="A292" s="80" t="s">
        <v>4</v>
      </c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</row>
    <row r="293" spans="1:18" ht="18" customHeight="1">
      <c r="A293" s="84" t="s">
        <v>29</v>
      </c>
      <c r="B293" s="83" t="s">
        <v>0</v>
      </c>
      <c r="C293" s="84" t="s">
        <v>38</v>
      </c>
      <c r="D293" s="83" t="s">
        <v>1</v>
      </c>
      <c r="E293" s="83" t="s">
        <v>2</v>
      </c>
      <c r="F293" s="85" t="s">
        <v>69</v>
      </c>
      <c r="G293" s="85" t="s">
        <v>70</v>
      </c>
      <c r="H293" s="85" t="s">
        <v>71</v>
      </c>
      <c r="I293" s="83" t="s">
        <v>3</v>
      </c>
      <c r="J293" s="15"/>
      <c r="K293" s="8" t="s">
        <v>72</v>
      </c>
      <c r="L293" s="8"/>
      <c r="M293" s="8"/>
      <c r="N293" s="8"/>
      <c r="O293" s="83" t="s">
        <v>73</v>
      </c>
      <c r="P293" s="83"/>
      <c r="Q293" s="83"/>
      <c r="R293" s="83"/>
    </row>
    <row r="294" spans="1:18" ht="15" customHeight="1">
      <c r="A294" s="84"/>
      <c r="B294" s="83"/>
      <c r="C294" s="84"/>
      <c r="D294" s="83"/>
      <c r="E294" s="83"/>
      <c r="F294" s="86"/>
      <c r="G294" s="86"/>
      <c r="H294" s="86"/>
      <c r="I294" s="83"/>
      <c r="J294" s="15"/>
      <c r="K294" s="30" t="s">
        <v>30</v>
      </c>
      <c r="L294" s="24" t="s">
        <v>31</v>
      </c>
      <c r="M294" s="24" t="s">
        <v>32</v>
      </c>
      <c r="N294" s="24" t="s">
        <v>33</v>
      </c>
      <c r="O294" s="24" t="s">
        <v>34</v>
      </c>
      <c r="P294" s="24" t="s">
        <v>79</v>
      </c>
      <c r="Q294" s="24" t="s">
        <v>36</v>
      </c>
      <c r="R294" s="24" t="s">
        <v>37</v>
      </c>
    </row>
    <row r="295" spans="1:18" ht="32.450000000000003" customHeight="1">
      <c r="A295" s="1">
        <v>173</v>
      </c>
      <c r="B295" s="1" t="s">
        <v>7</v>
      </c>
      <c r="C295" s="4" t="s">
        <v>128</v>
      </c>
      <c r="D295" s="32" t="s">
        <v>94</v>
      </c>
      <c r="E295" s="2">
        <v>26.75</v>
      </c>
      <c r="F295" s="2">
        <v>9.4</v>
      </c>
      <c r="G295" s="2">
        <v>13.6</v>
      </c>
      <c r="H295" s="2">
        <v>50.4</v>
      </c>
      <c r="I295" s="2">
        <v>361.4</v>
      </c>
      <c r="J295" s="74"/>
      <c r="K295" s="2">
        <v>72.400000000000006</v>
      </c>
      <c r="L295" s="2">
        <v>20.8</v>
      </c>
      <c r="M295" s="2">
        <v>87.5</v>
      </c>
      <c r="N295" s="2">
        <v>0.5</v>
      </c>
      <c r="O295" s="2">
        <v>0.1</v>
      </c>
      <c r="P295" s="2">
        <v>8.9</v>
      </c>
      <c r="Q295" s="2">
        <v>0.4</v>
      </c>
      <c r="R295" s="2">
        <v>0.7</v>
      </c>
    </row>
    <row r="296" spans="1:18" ht="18" customHeight="1">
      <c r="A296" s="1"/>
      <c r="B296" s="1" t="s">
        <v>8</v>
      </c>
      <c r="C296" s="5" t="s">
        <v>78</v>
      </c>
      <c r="D296" s="1">
        <v>40</v>
      </c>
      <c r="E296" s="2">
        <v>2.8</v>
      </c>
      <c r="F296" s="2">
        <v>3.16</v>
      </c>
      <c r="G296" s="2">
        <v>0.4</v>
      </c>
      <c r="H296" s="2">
        <v>19.32</v>
      </c>
      <c r="I296" s="2">
        <v>93.52</v>
      </c>
      <c r="J296" s="55"/>
      <c r="K296" s="2">
        <v>9.1999999999999993</v>
      </c>
      <c r="L296" s="2">
        <v>13.2</v>
      </c>
      <c r="M296" s="2">
        <v>34.799999999999997</v>
      </c>
      <c r="N296" s="2">
        <v>0.44</v>
      </c>
      <c r="O296" s="2">
        <v>0</v>
      </c>
      <c r="P296" s="2">
        <v>0.04</v>
      </c>
      <c r="Q296" s="2">
        <v>0.09</v>
      </c>
      <c r="R296" s="2">
        <v>0.1</v>
      </c>
    </row>
    <row r="297" spans="1:18" s="68" customFormat="1" ht="18" customHeight="1">
      <c r="A297" s="71"/>
      <c r="B297" s="62" t="s">
        <v>9</v>
      </c>
      <c r="C297" s="61" t="s">
        <v>130</v>
      </c>
      <c r="D297" s="62">
        <v>220</v>
      </c>
      <c r="E297" s="70">
        <v>35.200000000000003</v>
      </c>
      <c r="F297" s="77">
        <v>0.86</v>
      </c>
      <c r="G297" s="77">
        <v>0.88</v>
      </c>
      <c r="H297" s="77">
        <v>21.6</v>
      </c>
      <c r="I297" s="70">
        <v>103.4</v>
      </c>
      <c r="J297" s="73"/>
      <c r="K297" s="35">
        <v>35.200000000000003</v>
      </c>
      <c r="L297" s="35">
        <v>19.8</v>
      </c>
      <c r="M297" s="35">
        <v>24.2</v>
      </c>
      <c r="N297" s="35">
        <v>4.8</v>
      </c>
      <c r="O297" s="35">
        <v>0</v>
      </c>
      <c r="P297" s="35">
        <v>0.03</v>
      </c>
      <c r="Q297" s="35">
        <v>0.67</v>
      </c>
      <c r="R297" s="35">
        <v>22</v>
      </c>
    </row>
    <row r="298" spans="1:18" ht="18" customHeight="1">
      <c r="A298" s="1">
        <v>376</v>
      </c>
      <c r="B298" s="1" t="s">
        <v>13</v>
      </c>
      <c r="C298" s="27" t="s">
        <v>16</v>
      </c>
      <c r="D298" s="1">
        <v>200</v>
      </c>
      <c r="E298" s="2">
        <v>1.63</v>
      </c>
      <c r="F298" s="2">
        <v>0.1</v>
      </c>
      <c r="G298" s="2">
        <v>0</v>
      </c>
      <c r="H298" s="2">
        <v>15</v>
      </c>
      <c r="I298" s="2">
        <v>60</v>
      </c>
      <c r="J298" s="49"/>
      <c r="K298" s="2">
        <v>5</v>
      </c>
      <c r="L298" s="2">
        <v>0</v>
      </c>
      <c r="M298" s="2">
        <v>0</v>
      </c>
      <c r="N298" s="2">
        <v>2</v>
      </c>
      <c r="O298" s="2">
        <v>0</v>
      </c>
      <c r="P298" s="2">
        <v>0</v>
      </c>
      <c r="Q298" s="2">
        <v>0</v>
      </c>
      <c r="R298" s="2">
        <v>0</v>
      </c>
    </row>
    <row r="299" spans="1:18" ht="18" customHeight="1">
      <c r="A299" s="82" t="s">
        <v>11</v>
      </c>
      <c r="B299" s="82"/>
      <c r="C299" s="82"/>
      <c r="D299" s="30">
        <v>720</v>
      </c>
      <c r="E299" s="13">
        <f>SUM(E295:E298)</f>
        <v>66.38</v>
      </c>
      <c r="F299" s="13">
        <f>SUM(F294:F298)</f>
        <v>13.52</v>
      </c>
      <c r="G299" s="13">
        <f>SUM(G294:G298)</f>
        <v>14.88</v>
      </c>
      <c r="H299" s="13">
        <f>SUM(H294:H298)</f>
        <v>106.32</v>
      </c>
      <c r="I299" s="13">
        <f>SUM(I294:I298)</f>
        <v>618.31999999999994</v>
      </c>
      <c r="J299" s="49"/>
      <c r="K299" s="13">
        <f t="shared" ref="K299:R299" si="30">SUM(K295:K298)</f>
        <v>121.80000000000001</v>
      </c>
      <c r="L299" s="13">
        <f t="shared" si="30"/>
        <v>53.8</v>
      </c>
      <c r="M299" s="13">
        <f t="shared" si="30"/>
        <v>146.5</v>
      </c>
      <c r="N299" s="13">
        <f t="shared" si="30"/>
        <v>7.74</v>
      </c>
      <c r="O299" s="13">
        <f t="shared" si="30"/>
        <v>0.1</v>
      </c>
      <c r="P299" s="13">
        <f t="shared" si="30"/>
        <v>8.9699999999999989</v>
      </c>
      <c r="Q299" s="13">
        <f t="shared" si="30"/>
        <v>1.1600000000000001</v>
      </c>
      <c r="R299" s="13">
        <f t="shared" si="30"/>
        <v>22.8</v>
      </c>
    </row>
    <row r="300" spans="1:18" ht="18" customHeight="1">
      <c r="A300" s="80" t="s">
        <v>12</v>
      </c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</row>
    <row r="301" spans="1:18" ht="18" customHeight="1">
      <c r="A301" s="84" t="s">
        <v>29</v>
      </c>
      <c r="B301" s="83" t="s">
        <v>0</v>
      </c>
      <c r="C301" s="84" t="s">
        <v>38</v>
      </c>
      <c r="D301" s="83" t="s">
        <v>1</v>
      </c>
      <c r="E301" s="83" t="s">
        <v>2</v>
      </c>
      <c r="F301" s="85" t="s">
        <v>69</v>
      </c>
      <c r="G301" s="85" t="s">
        <v>70</v>
      </c>
      <c r="H301" s="85" t="s">
        <v>71</v>
      </c>
      <c r="I301" s="83" t="s">
        <v>3</v>
      </c>
      <c r="J301" s="15"/>
      <c r="K301" s="8" t="s">
        <v>72</v>
      </c>
      <c r="L301" s="8"/>
      <c r="M301" s="8"/>
      <c r="N301" s="8"/>
      <c r="O301" s="83" t="s">
        <v>73</v>
      </c>
      <c r="P301" s="83"/>
      <c r="Q301" s="83"/>
      <c r="R301" s="83"/>
    </row>
    <row r="302" spans="1:18" ht="15" customHeight="1">
      <c r="A302" s="84"/>
      <c r="B302" s="83"/>
      <c r="C302" s="84"/>
      <c r="D302" s="83"/>
      <c r="E302" s="83"/>
      <c r="F302" s="86"/>
      <c r="G302" s="86"/>
      <c r="H302" s="86"/>
      <c r="I302" s="83"/>
      <c r="J302" s="15"/>
      <c r="K302" s="30" t="s">
        <v>30</v>
      </c>
      <c r="L302" s="24" t="s">
        <v>31</v>
      </c>
      <c r="M302" s="24" t="s">
        <v>32</v>
      </c>
      <c r="N302" s="24" t="s">
        <v>33</v>
      </c>
      <c r="O302" s="24" t="s">
        <v>34</v>
      </c>
      <c r="P302" s="24" t="s">
        <v>79</v>
      </c>
      <c r="Q302" s="24" t="s">
        <v>36</v>
      </c>
      <c r="R302" s="24" t="s">
        <v>37</v>
      </c>
    </row>
    <row r="303" spans="1:18" ht="18" customHeight="1">
      <c r="A303" s="28">
        <v>71</v>
      </c>
      <c r="B303" s="1" t="s">
        <v>7</v>
      </c>
      <c r="C303" s="5" t="s">
        <v>92</v>
      </c>
      <c r="D303" s="1">
        <v>100</v>
      </c>
      <c r="E303" s="1">
        <v>23.67</v>
      </c>
      <c r="F303" s="72">
        <v>0.8</v>
      </c>
      <c r="G303" s="72">
        <v>0</v>
      </c>
      <c r="H303" s="72">
        <v>3.3</v>
      </c>
      <c r="I303" s="2">
        <v>16</v>
      </c>
      <c r="J303" s="49"/>
      <c r="K303" s="2">
        <v>23</v>
      </c>
      <c r="L303" s="2">
        <v>0</v>
      </c>
      <c r="M303" s="2">
        <v>0</v>
      </c>
      <c r="N303" s="2">
        <v>0.5</v>
      </c>
      <c r="O303" s="2">
        <v>0</v>
      </c>
      <c r="P303" s="2">
        <v>0</v>
      </c>
      <c r="Q303" s="2">
        <v>0</v>
      </c>
      <c r="R303" s="2">
        <v>5</v>
      </c>
    </row>
    <row r="304" spans="1:18" ht="18" customHeight="1">
      <c r="A304" s="1">
        <v>96</v>
      </c>
      <c r="B304" s="1" t="s">
        <v>8</v>
      </c>
      <c r="C304" s="4" t="s">
        <v>76</v>
      </c>
      <c r="D304" s="32">
        <v>250</v>
      </c>
      <c r="E304" s="2">
        <v>9.0500000000000007</v>
      </c>
      <c r="F304" s="2">
        <v>2.1</v>
      </c>
      <c r="G304" s="2">
        <v>5.0999999999999996</v>
      </c>
      <c r="H304" s="2">
        <v>20.5</v>
      </c>
      <c r="I304" s="2">
        <v>136.30000000000001</v>
      </c>
      <c r="J304" s="49"/>
      <c r="K304" s="2">
        <v>89.3</v>
      </c>
      <c r="L304" s="2">
        <v>13.5</v>
      </c>
      <c r="M304" s="2">
        <v>33.4</v>
      </c>
      <c r="N304" s="2">
        <v>1</v>
      </c>
      <c r="O304" s="2">
        <v>1.1000000000000001</v>
      </c>
      <c r="P304" s="2">
        <v>3.8</v>
      </c>
      <c r="Q304" s="2">
        <v>0.3</v>
      </c>
      <c r="R304" s="2">
        <v>2.1</v>
      </c>
    </row>
    <row r="305" spans="1:18" ht="18" customHeight="1">
      <c r="A305" s="1">
        <v>234</v>
      </c>
      <c r="B305" s="1" t="s">
        <v>9</v>
      </c>
      <c r="C305" s="45" t="s">
        <v>59</v>
      </c>
      <c r="D305" s="1">
        <v>105</v>
      </c>
      <c r="E305" s="2">
        <v>32.93</v>
      </c>
      <c r="F305" s="2">
        <v>14.8</v>
      </c>
      <c r="G305" s="2">
        <v>18.8</v>
      </c>
      <c r="H305" s="2">
        <v>11.6</v>
      </c>
      <c r="I305" s="2">
        <v>274</v>
      </c>
      <c r="J305" s="49"/>
      <c r="K305" s="2">
        <v>139.30000000000001</v>
      </c>
      <c r="L305" s="2">
        <v>0</v>
      </c>
      <c r="M305" s="2">
        <v>0</v>
      </c>
      <c r="N305" s="2">
        <v>1</v>
      </c>
      <c r="O305" s="2">
        <v>0</v>
      </c>
      <c r="P305" s="2">
        <v>0.2</v>
      </c>
      <c r="Q305" s="2">
        <v>0</v>
      </c>
      <c r="R305" s="2">
        <v>6.8</v>
      </c>
    </row>
    <row r="306" spans="1:18" ht="18" customHeight="1">
      <c r="A306" s="1">
        <v>142</v>
      </c>
      <c r="B306" s="1" t="s">
        <v>13</v>
      </c>
      <c r="C306" s="45" t="s">
        <v>75</v>
      </c>
      <c r="D306" s="1" t="s">
        <v>123</v>
      </c>
      <c r="E306" s="2">
        <v>15.45</v>
      </c>
      <c r="F306" s="2">
        <v>4</v>
      </c>
      <c r="G306" s="2">
        <v>10.6</v>
      </c>
      <c r="H306" s="2">
        <v>39.700000000000003</v>
      </c>
      <c r="I306" s="2">
        <v>270.39999999999998</v>
      </c>
      <c r="J306" s="74"/>
      <c r="K306" s="2">
        <v>39.700000000000003</v>
      </c>
      <c r="L306" s="2">
        <v>0</v>
      </c>
      <c r="M306" s="2">
        <v>0</v>
      </c>
      <c r="N306" s="2">
        <v>2.1</v>
      </c>
      <c r="O306" s="2">
        <v>0</v>
      </c>
      <c r="P306" s="2">
        <v>0.5</v>
      </c>
      <c r="Q306" s="2">
        <v>0</v>
      </c>
      <c r="R306" s="2">
        <v>47.8</v>
      </c>
    </row>
    <row r="307" spans="1:18" ht="18" customHeight="1">
      <c r="A307" s="1">
        <v>883</v>
      </c>
      <c r="B307" s="1" t="s">
        <v>14</v>
      </c>
      <c r="C307" s="4" t="s">
        <v>105</v>
      </c>
      <c r="D307" s="1">
        <v>200</v>
      </c>
      <c r="E307" s="2">
        <v>8.2899999999999991</v>
      </c>
      <c r="F307" s="2">
        <v>0</v>
      </c>
      <c r="G307" s="2">
        <v>0</v>
      </c>
      <c r="H307" s="2">
        <v>7.2</v>
      </c>
      <c r="I307" s="2">
        <v>36</v>
      </c>
      <c r="J307" s="49"/>
      <c r="K307" s="2">
        <v>29.5</v>
      </c>
      <c r="L307" s="2">
        <v>1</v>
      </c>
      <c r="M307" s="2">
        <v>0</v>
      </c>
      <c r="N307" s="2">
        <v>0</v>
      </c>
      <c r="O307" s="2">
        <v>0</v>
      </c>
      <c r="P307" s="2">
        <v>0.04</v>
      </c>
      <c r="Q307" s="2">
        <v>0</v>
      </c>
      <c r="R307" s="2">
        <v>15</v>
      </c>
    </row>
    <row r="308" spans="1:18" ht="18" customHeight="1">
      <c r="A308" s="1"/>
      <c r="B308" s="1" t="s">
        <v>15</v>
      </c>
      <c r="C308" s="4" t="s">
        <v>99</v>
      </c>
      <c r="D308" s="32">
        <v>40</v>
      </c>
      <c r="E308" s="2">
        <v>2.8</v>
      </c>
      <c r="F308" s="2">
        <v>1.68</v>
      </c>
      <c r="G308" s="2">
        <v>0.33</v>
      </c>
      <c r="H308" s="2">
        <v>14.82</v>
      </c>
      <c r="I308" s="2">
        <v>68.97</v>
      </c>
      <c r="J308" s="49"/>
      <c r="K308" s="2">
        <v>6.9</v>
      </c>
      <c r="L308" s="2">
        <v>7.5</v>
      </c>
      <c r="M308" s="2">
        <v>31.799999999999997</v>
      </c>
      <c r="N308" s="2">
        <v>0.92999999999999994</v>
      </c>
      <c r="O308" s="2">
        <v>0</v>
      </c>
      <c r="P308" s="2">
        <v>0.03</v>
      </c>
      <c r="Q308" s="2">
        <v>0</v>
      </c>
      <c r="R308" s="2">
        <v>0</v>
      </c>
    </row>
    <row r="309" spans="1:18" ht="18" customHeight="1">
      <c r="A309" s="1"/>
      <c r="B309" s="1" t="s">
        <v>81</v>
      </c>
      <c r="C309" s="27" t="s">
        <v>83</v>
      </c>
      <c r="D309" s="32">
        <v>70</v>
      </c>
      <c r="E309" s="35">
        <v>4.9000000000000004</v>
      </c>
      <c r="F309" s="2">
        <v>2.37</v>
      </c>
      <c r="G309" s="2">
        <v>0.3</v>
      </c>
      <c r="H309" s="2">
        <v>14.49</v>
      </c>
      <c r="I309" s="2">
        <v>70.14</v>
      </c>
      <c r="J309" s="49"/>
      <c r="K309" s="2">
        <v>6.8999999999999995</v>
      </c>
      <c r="L309" s="2">
        <v>9.8999999999999986</v>
      </c>
      <c r="M309" s="2">
        <v>26.099999999999998</v>
      </c>
      <c r="N309" s="2">
        <v>0.33</v>
      </c>
      <c r="O309" s="2">
        <v>0</v>
      </c>
      <c r="P309" s="2">
        <v>0.03</v>
      </c>
      <c r="Q309" s="2">
        <v>0</v>
      </c>
      <c r="R309" s="2">
        <v>0</v>
      </c>
    </row>
    <row r="310" spans="1:18" ht="18" customHeight="1">
      <c r="A310" s="1">
        <v>386</v>
      </c>
      <c r="B310" s="1" t="s">
        <v>95</v>
      </c>
      <c r="C310" s="27" t="s">
        <v>96</v>
      </c>
      <c r="D310" s="1">
        <v>100</v>
      </c>
      <c r="E310" s="2">
        <v>11.85</v>
      </c>
      <c r="F310" s="2">
        <v>3</v>
      </c>
      <c r="G310" s="2">
        <v>1</v>
      </c>
      <c r="H310" s="2">
        <v>4.2</v>
      </c>
      <c r="I310" s="2">
        <v>40</v>
      </c>
      <c r="J310" s="49"/>
      <c r="K310" s="2">
        <v>124</v>
      </c>
      <c r="L310" s="2">
        <v>14</v>
      </c>
      <c r="M310" s="2">
        <v>92</v>
      </c>
      <c r="N310" s="2">
        <v>0.1</v>
      </c>
      <c r="O310" s="2">
        <v>0</v>
      </c>
      <c r="P310" s="2">
        <v>0.03</v>
      </c>
      <c r="Q310" s="2">
        <v>0.1</v>
      </c>
      <c r="R310" s="2">
        <v>0.3</v>
      </c>
    </row>
    <row r="311" spans="1:18" ht="18" customHeight="1">
      <c r="A311" s="82" t="s">
        <v>11</v>
      </c>
      <c r="B311" s="82"/>
      <c r="C311" s="82"/>
      <c r="D311" s="24">
        <v>1045</v>
      </c>
      <c r="E311" s="24">
        <f t="shared" ref="E311:R311" si="31">SUM(E303:E310)</f>
        <v>108.94000000000001</v>
      </c>
      <c r="F311" s="13">
        <f t="shared" si="31"/>
        <v>28.750000000000004</v>
      </c>
      <c r="G311" s="13">
        <f t="shared" si="31"/>
        <v>36.129999999999995</v>
      </c>
      <c r="H311" s="13">
        <f t="shared" si="31"/>
        <v>115.81</v>
      </c>
      <c r="I311" s="13">
        <f t="shared" si="31"/>
        <v>911.81000000000006</v>
      </c>
      <c r="J311" s="13">
        <f t="shared" si="31"/>
        <v>0</v>
      </c>
      <c r="K311" s="13">
        <f t="shared" si="31"/>
        <v>458.59999999999997</v>
      </c>
      <c r="L311" s="13">
        <f t="shared" si="31"/>
        <v>45.9</v>
      </c>
      <c r="M311" s="13">
        <f t="shared" si="31"/>
        <v>183.29999999999998</v>
      </c>
      <c r="N311" s="13">
        <f t="shared" si="31"/>
        <v>5.9599999999999991</v>
      </c>
      <c r="O311" s="13">
        <f t="shared" si="31"/>
        <v>1.1000000000000001</v>
      </c>
      <c r="P311" s="13">
        <f t="shared" si="31"/>
        <v>4.6300000000000008</v>
      </c>
      <c r="Q311" s="13">
        <f t="shared" si="31"/>
        <v>0.4</v>
      </c>
      <c r="R311" s="13">
        <f t="shared" si="31"/>
        <v>76.999999999999986</v>
      </c>
    </row>
    <row r="312" spans="1:18" ht="18" customHeight="1">
      <c r="A312" s="81" t="s">
        <v>17</v>
      </c>
      <c r="B312" s="81"/>
      <c r="C312" s="81"/>
      <c r="D312" s="81"/>
      <c r="E312" s="13">
        <f>E299+E311</f>
        <v>175.32</v>
      </c>
      <c r="F312" s="13">
        <f>F299+F311</f>
        <v>42.27</v>
      </c>
      <c r="G312" s="13">
        <f t="shared" ref="G312:R312" si="32">G299+G311</f>
        <v>51.01</v>
      </c>
      <c r="H312" s="13">
        <f t="shared" si="32"/>
        <v>222.13</v>
      </c>
      <c r="I312" s="13">
        <f t="shared" si="32"/>
        <v>1530.13</v>
      </c>
      <c r="J312" s="13">
        <f t="shared" si="32"/>
        <v>0</v>
      </c>
      <c r="K312" s="13">
        <f t="shared" si="32"/>
        <v>580.4</v>
      </c>
      <c r="L312" s="13">
        <f t="shared" si="32"/>
        <v>99.699999999999989</v>
      </c>
      <c r="M312" s="13">
        <f t="shared" si="32"/>
        <v>329.79999999999995</v>
      </c>
      <c r="N312" s="13">
        <f t="shared" si="32"/>
        <v>13.7</v>
      </c>
      <c r="O312" s="13">
        <f t="shared" si="32"/>
        <v>1.2000000000000002</v>
      </c>
      <c r="P312" s="13">
        <f t="shared" si="32"/>
        <v>13.6</v>
      </c>
      <c r="Q312" s="13">
        <f t="shared" si="32"/>
        <v>1.56</v>
      </c>
      <c r="R312" s="13">
        <f t="shared" si="32"/>
        <v>99.799999999999983</v>
      </c>
    </row>
    <row r="313" spans="1:18">
      <c r="A313" s="16"/>
      <c r="B313" s="16"/>
      <c r="C313" s="16"/>
      <c r="D313" s="16"/>
      <c r="E313" s="18"/>
      <c r="F313" s="18"/>
      <c r="G313" s="18"/>
      <c r="H313" s="18"/>
      <c r="I313" s="18"/>
      <c r="J313" s="20"/>
      <c r="K313" s="18"/>
      <c r="L313" s="18"/>
      <c r="M313" s="18"/>
      <c r="N313" s="18"/>
      <c r="O313" s="18"/>
      <c r="P313" s="18"/>
      <c r="Q313" s="18"/>
      <c r="R313" s="18"/>
    </row>
    <row r="314" spans="1:18">
      <c r="A314" s="16"/>
      <c r="B314" s="16"/>
      <c r="C314" s="16"/>
      <c r="D314" s="16"/>
      <c r="E314" s="18"/>
      <c r="F314" s="18"/>
      <c r="G314" s="18"/>
      <c r="H314" s="18"/>
      <c r="I314" s="18"/>
      <c r="J314" s="20"/>
      <c r="K314" s="18"/>
      <c r="L314" s="18"/>
      <c r="M314" s="18"/>
      <c r="N314" s="18"/>
      <c r="O314" s="18"/>
      <c r="P314" s="18"/>
      <c r="Q314" s="18"/>
      <c r="R314" s="18"/>
    </row>
    <row r="315" spans="1:18">
      <c r="A315" s="16"/>
      <c r="B315" s="16"/>
      <c r="C315" s="16"/>
      <c r="D315" s="16"/>
      <c r="E315" s="18"/>
      <c r="F315" s="18"/>
      <c r="G315" s="18"/>
      <c r="H315" s="18"/>
      <c r="I315" s="18"/>
      <c r="J315" s="20"/>
      <c r="K315" s="18"/>
      <c r="L315" s="18"/>
      <c r="M315" s="18"/>
      <c r="N315" s="18"/>
      <c r="O315" s="18"/>
      <c r="P315" s="18"/>
      <c r="Q315" s="18"/>
      <c r="R315" s="18"/>
    </row>
    <row r="316" spans="1:18">
      <c r="A316" s="16"/>
      <c r="B316" s="16"/>
      <c r="C316" s="16"/>
      <c r="D316" s="16"/>
      <c r="E316" s="18"/>
      <c r="F316" s="18"/>
      <c r="G316" s="18"/>
      <c r="H316" s="18"/>
      <c r="I316" s="18"/>
      <c r="J316" s="20"/>
      <c r="K316" s="18"/>
      <c r="L316" s="18"/>
      <c r="M316" s="18"/>
      <c r="N316" s="18"/>
      <c r="O316" s="18"/>
      <c r="P316" s="18"/>
      <c r="Q316" s="18"/>
      <c r="R316" s="18"/>
    </row>
    <row r="317" spans="1:18">
      <c r="A317" s="16"/>
      <c r="B317" s="16"/>
      <c r="C317" s="16"/>
      <c r="D317" s="16"/>
      <c r="E317" s="18"/>
      <c r="F317" s="18"/>
      <c r="G317" s="18"/>
      <c r="H317" s="18"/>
      <c r="I317" s="18"/>
      <c r="J317" s="20"/>
      <c r="K317" s="18"/>
      <c r="L317" s="18"/>
      <c r="M317" s="18"/>
      <c r="N317" s="18"/>
      <c r="O317" s="18"/>
      <c r="P317" s="18"/>
      <c r="Q317" s="18"/>
      <c r="R317" s="18"/>
    </row>
    <row r="318" spans="1:18">
      <c r="A318" s="16"/>
      <c r="B318" s="16"/>
      <c r="C318" s="16"/>
      <c r="D318" s="16"/>
      <c r="E318" s="18"/>
      <c r="F318" s="18"/>
      <c r="G318" s="18"/>
      <c r="H318" s="18"/>
      <c r="I318" s="18"/>
      <c r="J318" s="20"/>
      <c r="K318" s="18"/>
      <c r="L318" s="18"/>
      <c r="M318" s="18"/>
      <c r="N318" s="18"/>
      <c r="O318" s="18"/>
      <c r="P318" s="18"/>
      <c r="Q318" s="18"/>
      <c r="R318" s="18"/>
    </row>
    <row r="319" spans="1:18">
      <c r="A319" s="16"/>
      <c r="B319" s="16"/>
      <c r="C319" s="16"/>
      <c r="D319" s="16"/>
      <c r="E319" s="18"/>
      <c r="F319" s="18"/>
      <c r="G319" s="18"/>
      <c r="H319" s="18"/>
      <c r="I319" s="18"/>
      <c r="J319" s="20"/>
      <c r="K319" s="18"/>
      <c r="L319" s="18"/>
      <c r="M319" s="18"/>
      <c r="N319" s="18"/>
      <c r="O319" s="18"/>
      <c r="P319" s="18"/>
      <c r="Q319" s="18"/>
      <c r="R319" s="18"/>
    </row>
    <row r="320" spans="1:18" ht="18" customHeight="1">
      <c r="A320" s="89" t="s">
        <v>51</v>
      </c>
      <c r="B320" s="90"/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1"/>
    </row>
    <row r="321" spans="1:18" ht="18.75" customHeight="1">
      <c r="A321" s="80" t="s">
        <v>4</v>
      </c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</row>
    <row r="322" spans="1:18" ht="18" customHeight="1">
      <c r="A322" s="84" t="s">
        <v>29</v>
      </c>
      <c r="B322" s="83" t="s">
        <v>0</v>
      </c>
      <c r="C322" s="84" t="s">
        <v>38</v>
      </c>
      <c r="D322" s="83" t="s">
        <v>1</v>
      </c>
      <c r="E322" s="83" t="s">
        <v>2</v>
      </c>
      <c r="F322" s="85" t="s">
        <v>69</v>
      </c>
      <c r="G322" s="85" t="s">
        <v>70</v>
      </c>
      <c r="H322" s="85" t="s">
        <v>71</v>
      </c>
      <c r="I322" s="83" t="s">
        <v>3</v>
      </c>
      <c r="J322" s="15"/>
      <c r="K322" s="8" t="s">
        <v>72</v>
      </c>
      <c r="L322" s="8"/>
      <c r="M322" s="8"/>
      <c r="N322" s="8"/>
      <c r="O322" s="83" t="s">
        <v>73</v>
      </c>
      <c r="P322" s="83"/>
      <c r="Q322" s="83"/>
      <c r="R322" s="83"/>
    </row>
    <row r="323" spans="1:18" ht="15" customHeight="1">
      <c r="A323" s="84"/>
      <c r="B323" s="83"/>
      <c r="C323" s="84"/>
      <c r="D323" s="83"/>
      <c r="E323" s="83"/>
      <c r="F323" s="86"/>
      <c r="G323" s="86"/>
      <c r="H323" s="86"/>
      <c r="I323" s="83"/>
      <c r="J323" s="15"/>
      <c r="K323" s="30" t="s">
        <v>30</v>
      </c>
      <c r="L323" s="24" t="s">
        <v>31</v>
      </c>
      <c r="M323" s="24" t="s">
        <v>32</v>
      </c>
      <c r="N323" s="24" t="s">
        <v>33</v>
      </c>
      <c r="O323" s="24" t="s">
        <v>34</v>
      </c>
      <c r="P323" s="24" t="s">
        <v>79</v>
      </c>
      <c r="Q323" s="24" t="s">
        <v>36</v>
      </c>
      <c r="R323" s="24" t="s">
        <v>37</v>
      </c>
    </row>
    <row r="324" spans="1:18" ht="18" customHeight="1">
      <c r="A324" s="1">
        <v>279</v>
      </c>
      <c r="B324" s="1" t="s">
        <v>7</v>
      </c>
      <c r="C324" s="45" t="s">
        <v>54</v>
      </c>
      <c r="D324" s="32" t="s">
        <v>100</v>
      </c>
      <c r="E324" s="32">
        <v>52.12</v>
      </c>
      <c r="F324" s="2">
        <v>11.5</v>
      </c>
      <c r="G324" s="2">
        <v>16.600000000000001</v>
      </c>
      <c r="H324" s="2">
        <v>17</v>
      </c>
      <c r="I324" s="2">
        <v>263.2</v>
      </c>
      <c r="J324" s="49"/>
      <c r="K324" s="2">
        <v>54.2</v>
      </c>
      <c r="L324" s="2">
        <v>26.6</v>
      </c>
      <c r="M324" s="2">
        <v>132.6</v>
      </c>
      <c r="N324" s="2">
        <v>1.1000000000000001</v>
      </c>
      <c r="O324" s="2">
        <v>47.8</v>
      </c>
      <c r="P324" s="2">
        <v>0</v>
      </c>
      <c r="Q324" s="2">
        <v>0</v>
      </c>
      <c r="R324" s="2">
        <v>1.1000000000000001</v>
      </c>
    </row>
    <row r="325" spans="1:18" ht="18" customHeight="1">
      <c r="A325" s="1">
        <v>171</v>
      </c>
      <c r="B325" s="1" t="s">
        <v>8</v>
      </c>
      <c r="C325" s="44" t="s">
        <v>61</v>
      </c>
      <c r="D325" s="1">
        <v>180</v>
      </c>
      <c r="E325" s="2">
        <v>19.82</v>
      </c>
      <c r="F325" s="2">
        <v>7.56</v>
      </c>
      <c r="G325" s="2">
        <v>11.88</v>
      </c>
      <c r="H325" s="2">
        <v>56.04</v>
      </c>
      <c r="I325" s="2">
        <v>300.89999999999998</v>
      </c>
      <c r="J325" s="49"/>
      <c r="K325" s="2">
        <v>136.69999999999999</v>
      </c>
      <c r="L325" s="2">
        <v>1.4</v>
      </c>
      <c r="M325" s="2">
        <v>22.2</v>
      </c>
      <c r="N325" s="2">
        <v>1.2</v>
      </c>
      <c r="O325" s="2">
        <v>1.2</v>
      </c>
      <c r="P325" s="2">
        <v>0.1</v>
      </c>
      <c r="Q325" s="2">
        <v>0</v>
      </c>
      <c r="R325" s="2">
        <v>0</v>
      </c>
    </row>
    <row r="326" spans="1:18" ht="18" customHeight="1">
      <c r="A326" s="1"/>
      <c r="B326" s="1" t="s">
        <v>9</v>
      </c>
      <c r="C326" s="27" t="s">
        <v>78</v>
      </c>
      <c r="D326" s="1">
        <v>40</v>
      </c>
      <c r="E326" s="2">
        <v>2.8</v>
      </c>
      <c r="F326" s="2">
        <v>3.16</v>
      </c>
      <c r="G326" s="2">
        <v>0.4</v>
      </c>
      <c r="H326" s="2">
        <v>19.32</v>
      </c>
      <c r="I326" s="2">
        <v>93.52</v>
      </c>
      <c r="J326" s="49"/>
      <c r="K326" s="2">
        <v>9.1999999999999993</v>
      </c>
      <c r="L326" s="2">
        <v>13.2</v>
      </c>
      <c r="M326" s="2">
        <v>34.799999999999997</v>
      </c>
      <c r="N326" s="2">
        <v>0.44</v>
      </c>
      <c r="O326" s="2">
        <v>0</v>
      </c>
      <c r="P326" s="2">
        <v>0.04</v>
      </c>
      <c r="Q326" s="2">
        <v>0.09</v>
      </c>
      <c r="R326" s="2">
        <v>0.1</v>
      </c>
    </row>
    <row r="327" spans="1:18" ht="18" customHeight="1">
      <c r="A327" s="1">
        <v>377</v>
      </c>
      <c r="B327" s="1" t="s">
        <v>13</v>
      </c>
      <c r="C327" s="27" t="s">
        <v>26</v>
      </c>
      <c r="D327" s="1">
        <v>200</v>
      </c>
      <c r="E327" s="2">
        <v>3.63</v>
      </c>
      <c r="F327" s="2">
        <v>0.2</v>
      </c>
      <c r="G327" s="2">
        <v>0</v>
      </c>
      <c r="H327" s="2">
        <v>16</v>
      </c>
      <c r="I327" s="2">
        <v>65</v>
      </c>
      <c r="J327" s="49"/>
      <c r="K327" s="2">
        <v>225.1</v>
      </c>
      <c r="L327" s="2">
        <v>198.2</v>
      </c>
      <c r="M327" s="2">
        <v>371.1</v>
      </c>
      <c r="N327" s="2">
        <v>36.799999999999997</v>
      </c>
      <c r="O327" s="2">
        <v>0</v>
      </c>
      <c r="P327" s="2">
        <v>1.1000000000000001</v>
      </c>
      <c r="Q327" s="2">
        <v>3.6</v>
      </c>
      <c r="R327" s="2">
        <v>7.3</v>
      </c>
    </row>
    <row r="328" spans="1:18" ht="18" customHeight="1">
      <c r="A328" s="82" t="s">
        <v>11</v>
      </c>
      <c r="B328" s="82"/>
      <c r="C328" s="82"/>
      <c r="D328" s="24">
        <v>570</v>
      </c>
      <c r="E328" s="13">
        <f>SUM(E323:E327)</f>
        <v>78.36999999999999</v>
      </c>
      <c r="F328" s="13">
        <f>SUM(F323:F327)</f>
        <v>22.419999999999998</v>
      </c>
      <c r="G328" s="13">
        <f>SUM(G323:G327)</f>
        <v>28.880000000000003</v>
      </c>
      <c r="H328" s="13">
        <f>SUM(H323:H327)</f>
        <v>108.35999999999999</v>
      </c>
      <c r="I328" s="13">
        <f>SUM(I323:I327)</f>
        <v>722.61999999999989</v>
      </c>
      <c r="J328" s="49"/>
      <c r="K328" s="13">
        <f t="shared" ref="K328:R328" si="33">SUM(K324:K327)</f>
        <v>425.19999999999993</v>
      </c>
      <c r="L328" s="13">
        <f t="shared" si="33"/>
        <v>239.39999999999998</v>
      </c>
      <c r="M328" s="13">
        <f t="shared" si="33"/>
        <v>560.70000000000005</v>
      </c>
      <c r="N328" s="13">
        <f t="shared" si="33"/>
        <v>39.54</v>
      </c>
      <c r="O328" s="13">
        <f t="shared" si="33"/>
        <v>49</v>
      </c>
      <c r="P328" s="13">
        <f t="shared" si="33"/>
        <v>1.2400000000000002</v>
      </c>
      <c r="Q328" s="13">
        <f t="shared" si="33"/>
        <v>3.69</v>
      </c>
      <c r="R328" s="13">
        <f t="shared" si="33"/>
        <v>8.5</v>
      </c>
    </row>
    <row r="329" spans="1:18" ht="18" customHeight="1">
      <c r="A329" s="87" t="s">
        <v>12</v>
      </c>
      <c r="B329" s="95"/>
      <c r="C329" s="95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6"/>
    </row>
    <row r="330" spans="1:18" ht="18" customHeight="1">
      <c r="A330" s="84" t="s">
        <v>29</v>
      </c>
      <c r="B330" s="83" t="s">
        <v>0</v>
      </c>
      <c r="C330" s="84" t="s">
        <v>38</v>
      </c>
      <c r="D330" s="83" t="s">
        <v>1</v>
      </c>
      <c r="E330" s="83" t="s">
        <v>2</v>
      </c>
      <c r="F330" s="85" t="s">
        <v>69</v>
      </c>
      <c r="G330" s="85" t="s">
        <v>70</v>
      </c>
      <c r="H330" s="85" t="s">
        <v>71</v>
      </c>
      <c r="I330" s="83" t="s">
        <v>3</v>
      </c>
      <c r="J330" s="15"/>
      <c r="K330" s="8" t="s">
        <v>72</v>
      </c>
      <c r="L330" s="8"/>
      <c r="M330" s="8"/>
      <c r="N330" s="8"/>
      <c r="O330" s="83" t="s">
        <v>73</v>
      </c>
      <c r="P330" s="83"/>
      <c r="Q330" s="83"/>
      <c r="R330" s="83"/>
    </row>
    <row r="331" spans="1:18" ht="15" customHeight="1">
      <c r="A331" s="84"/>
      <c r="B331" s="83"/>
      <c r="C331" s="84"/>
      <c r="D331" s="83"/>
      <c r="E331" s="83"/>
      <c r="F331" s="86"/>
      <c r="G331" s="86"/>
      <c r="H331" s="86"/>
      <c r="I331" s="83"/>
      <c r="J331" s="15"/>
      <c r="K331" s="30" t="s">
        <v>30</v>
      </c>
      <c r="L331" s="24" t="s">
        <v>31</v>
      </c>
      <c r="M331" s="24" t="s">
        <v>32</v>
      </c>
      <c r="N331" s="24" t="s">
        <v>33</v>
      </c>
      <c r="O331" s="24" t="s">
        <v>34</v>
      </c>
      <c r="P331" s="24" t="s">
        <v>79</v>
      </c>
      <c r="Q331" s="24" t="s">
        <v>36</v>
      </c>
      <c r="R331" s="24" t="s">
        <v>37</v>
      </c>
    </row>
    <row r="332" spans="1:18" ht="18" customHeight="1">
      <c r="A332" s="28">
        <v>71</v>
      </c>
      <c r="B332" s="1" t="s">
        <v>7</v>
      </c>
      <c r="C332" s="5" t="s">
        <v>92</v>
      </c>
      <c r="D332" s="1">
        <v>100</v>
      </c>
      <c r="E332" s="1">
        <v>23.67</v>
      </c>
      <c r="F332" s="72">
        <v>0.8</v>
      </c>
      <c r="G332" s="72">
        <v>0</v>
      </c>
      <c r="H332" s="72">
        <v>3.3</v>
      </c>
      <c r="I332" s="2">
        <v>16</v>
      </c>
      <c r="J332" s="49"/>
      <c r="K332" s="2">
        <v>23</v>
      </c>
      <c r="L332" s="2">
        <v>0</v>
      </c>
      <c r="M332" s="2">
        <v>0</v>
      </c>
      <c r="N332" s="2">
        <v>0.5</v>
      </c>
      <c r="O332" s="2">
        <v>0</v>
      </c>
      <c r="P332" s="2">
        <v>0</v>
      </c>
      <c r="Q332" s="2">
        <v>0</v>
      </c>
      <c r="R332" s="2">
        <v>5</v>
      </c>
    </row>
    <row r="333" spans="1:18" ht="24.6" customHeight="1">
      <c r="A333" s="1">
        <v>102</v>
      </c>
      <c r="B333" s="1" t="s">
        <v>8</v>
      </c>
      <c r="C333" s="4" t="s">
        <v>102</v>
      </c>
      <c r="D333" s="32">
        <v>250</v>
      </c>
      <c r="E333" s="1">
        <v>6.32</v>
      </c>
      <c r="F333" s="2">
        <f>5.1*250/200</f>
        <v>6.375</v>
      </c>
      <c r="G333" s="2">
        <f>5.4*250/200</f>
        <v>6.75</v>
      </c>
      <c r="H333" s="2">
        <f>23.9*250/200</f>
        <v>29.875</v>
      </c>
      <c r="I333" s="2">
        <f>163.8*250/200</f>
        <v>204.75</v>
      </c>
      <c r="J333" s="74"/>
      <c r="K333" s="2">
        <f>45.8*250/200</f>
        <v>57.25</v>
      </c>
      <c r="L333" s="2">
        <f>35.5*250/200</f>
        <v>44.375</v>
      </c>
      <c r="M333" s="2">
        <v>0</v>
      </c>
      <c r="N333" s="2">
        <f>4.6*250/200</f>
        <v>5.75</v>
      </c>
      <c r="O333" s="2">
        <v>0</v>
      </c>
      <c r="P333" s="2">
        <v>0</v>
      </c>
      <c r="Q333" s="2">
        <v>0</v>
      </c>
      <c r="R333" s="2">
        <f>11.2*250/200</f>
        <v>14</v>
      </c>
    </row>
    <row r="334" spans="1:18" ht="18" customHeight="1">
      <c r="A334" s="1">
        <v>288</v>
      </c>
      <c r="B334" s="1" t="s">
        <v>9</v>
      </c>
      <c r="C334" s="5" t="s">
        <v>129</v>
      </c>
      <c r="D334" s="32" t="s">
        <v>117</v>
      </c>
      <c r="E334" s="2">
        <v>54.85</v>
      </c>
      <c r="F334" s="2">
        <f>20.3*100/90</f>
        <v>22.555555555555557</v>
      </c>
      <c r="G334" s="2">
        <f>19.6*100/90</f>
        <v>21.777777777777779</v>
      </c>
      <c r="H334" s="2">
        <f>1.5*100/90</f>
        <v>1.6666666666666667</v>
      </c>
      <c r="I334" s="2">
        <f>264.3*100/90</f>
        <v>293.66666666666669</v>
      </c>
      <c r="J334" s="49"/>
      <c r="K334" s="2">
        <f>34.8*100/90</f>
        <v>38.666666666666664</v>
      </c>
      <c r="L334" s="2">
        <f>17.9*100/90</f>
        <v>19.888888888888886</v>
      </c>
      <c r="M334" s="2">
        <f>127.8*100/90</f>
        <v>142</v>
      </c>
      <c r="N334" s="2">
        <f>1.5*100/90</f>
        <v>1.6666666666666667</v>
      </c>
      <c r="O334" s="2">
        <f>17.9*100/90</f>
        <v>19.888888888888886</v>
      </c>
      <c r="P334" s="2">
        <v>0</v>
      </c>
      <c r="Q334" s="2">
        <v>0</v>
      </c>
      <c r="R334" s="2">
        <v>0</v>
      </c>
    </row>
    <row r="335" spans="1:18" ht="18" customHeight="1">
      <c r="A335" s="1">
        <v>143</v>
      </c>
      <c r="B335" s="1" t="s">
        <v>13</v>
      </c>
      <c r="C335" s="45" t="s">
        <v>58</v>
      </c>
      <c r="D335" s="32">
        <v>180</v>
      </c>
      <c r="E335" s="35">
        <v>20.7</v>
      </c>
      <c r="F335" s="2">
        <v>2.8</v>
      </c>
      <c r="G335" s="2">
        <v>16.399999999999999</v>
      </c>
      <c r="H335" s="2">
        <v>21</v>
      </c>
      <c r="I335" s="2">
        <v>242</v>
      </c>
      <c r="J335" s="74"/>
      <c r="K335" s="2">
        <v>32.4</v>
      </c>
      <c r="L335" s="2">
        <v>37.700000000000003</v>
      </c>
      <c r="M335" s="55">
        <v>83.7</v>
      </c>
      <c r="N335" s="55">
        <v>1.4</v>
      </c>
      <c r="O335" s="55">
        <v>42</v>
      </c>
      <c r="P335" s="55">
        <v>0.1</v>
      </c>
      <c r="Q335" s="55">
        <v>0</v>
      </c>
      <c r="R335" s="55">
        <v>11.8</v>
      </c>
    </row>
    <row r="336" spans="1:18" ht="18" customHeight="1">
      <c r="A336" s="1">
        <v>1041</v>
      </c>
      <c r="B336" s="1" t="s">
        <v>14</v>
      </c>
      <c r="C336" s="4" t="s">
        <v>62</v>
      </c>
      <c r="D336" s="1">
        <v>200</v>
      </c>
      <c r="E336" s="2">
        <v>6.41</v>
      </c>
      <c r="F336" s="2">
        <v>0.1</v>
      </c>
      <c r="G336" s="2">
        <v>0</v>
      </c>
      <c r="H336" s="2">
        <v>27.1</v>
      </c>
      <c r="I336" s="2">
        <v>108.6</v>
      </c>
      <c r="J336" s="74"/>
      <c r="K336" s="2">
        <v>23.52</v>
      </c>
      <c r="L336" s="2">
        <v>0</v>
      </c>
      <c r="M336" s="55">
        <v>0</v>
      </c>
      <c r="N336" s="2">
        <v>0.24</v>
      </c>
      <c r="O336" s="55">
        <v>0</v>
      </c>
      <c r="P336" s="55">
        <v>0.03</v>
      </c>
      <c r="Q336" s="55">
        <v>0</v>
      </c>
      <c r="R336" s="55">
        <v>12.9</v>
      </c>
    </row>
    <row r="337" spans="1:18" ht="18" customHeight="1">
      <c r="A337" s="1"/>
      <c r="B337" s="1" t="s">
        <v>15</v>
      </c>
      <c r="C337" s="4" t="s">
        <v>99</v>
      </c>
      <c r="D337" s="32">
        <v>40</v>
      </c>
      <c r="E337" s="2">
        <v>2.8</v>
      </c>
      <c r="F337" s="2">
        <v>1.68</v>
      </c>
      <c r="G337" s="2">
        <v>0.33</v>
      </c>
      <c r="H337" s="2">
        <v>14.82</v>
      </c>
      <c r="I337" s="2">
        <v>68.97</v>
      </c>
      <c r="J337" s="74"/>
      <c r="K337" s="2">
        <v>6.9</v>
      </c>
      <c r="L337" s="2">
        <v>7.5</v>
      </c>
      <c r="M337" s="55">
        <v>31.799999999999997</v>
      </c>
      <c r="N337" s="2">
        <v>0.92999999999999994</v>
      </c>
      <c r="O337" s="55">
        <v>0</v>
      </c>
      <c r="P337" s="55">
        <v>0.03</v>
      </c>
      <c r="Q337" s="55">
        <v>0</v>
      </c>
      <c r="R337" s="55">
        <v>0</v>
      </c>
    </row>
    <row r="338" spans="1:18" ht="18" customHeight="1">
      <c r="A338" s="1"/>
      <c r="B338" s="1" t="s">
        <v>81</v>
      </c>
      <c r="C338" s="31" t="s">
        <v>83</v>
      </c>
      <c r="D338" s="32">
        <v>70</v>
      </c>
      <c r="E338" s="35">
        <v>4.9000000000000004</v>
      </c>
      <c r="F338" s="2">
        <v>2.37</v>
      </c>
      <c r="G338" s="2">
        <v>0.3</v>
      </c>
      <c r="H338" s="2">
        <v>14.49</v>
      </c>
      <c r="I338" s="2">
        <v>70.14</v>
      </c>
      <c r="J338" s="49"/>
      <c r="K338" s="2">
        <v>6.8999999999999995</v>
      </c>
      <c r="L338" s="2">
        <v>9.8999999999999986</v>
      </c>
      <c r="M338" s="2">
        <v>26.099999999999998</v>
      </c>
      <c r="N338" s="2">
        <v>0.33</v>
      </c>
      <c r="O338" s="2">
        <v>0</v>
      </c>
      <c r="P338" s="2">
        <v>0.03</v>
      </c>
      <c r="Q338" s="2">
        <v>0</v>
      </c>
      <c r="R338" s="2">
        <v>0</v>
      </c>
    </row>
    <row r="339" spans="1:18" ht="18" customHeight="1">
      <c r="A339" s="1">
        <v>386</v>
      </c>
      <c r="B339" s="1" t="s">
        <v>95</v>
      </c>
      <c r="C339" s="27" t="s">
        <v>97</v>
      </c>
      <c r="D339" s="1">
        <v>100</v>
      </c>
      <c r="E339" s="2">
        <v>11.85</v>
      </c>
      <c r="F339" s="2">
        <v>2.7</v>
      </c>
      <c r="G339" s="2">
        <v>2.5</v>
      </c>
      <c r="H339" s="2">
        <v>10.8</v>
      </c>
      <c r="I339" s="2">
        <v>79</v>
      </c>
      <c r="J339" s="49"/>
      <c r="K339" s="2">
        <v>121</v>
      </c>
      <c r="L339" s="2">
        <v>15</v>
      </c>
      <c r="M339" s="2">
        <v>94</v>
      </c>
      <c r="N339" s="2">
        <v>0.1</v>
      </c>
      <c r="O339" s="2">
        <v>20</v>
      </c>
      <c r="P339" s="2">
        <v>4.4999999999999998E-2</v>
      </c>
      <c r="Q339" s="2">
        <v>0.1</v>
      </c>
      <c r="R339" s="2">
        <v>1.35</v>
      </c>
    </row>
    <row r="340" spans="1:18" ht="18" customHeight="1">
      <c r="A340" s="82" t="s">
        <v>11</v>
      </c>
      <c r="B340" s="82"/>
      <c r="C340" s="82"/>
      <c r="D340" s="65">
        <v>1045</v>
      </c>
      <c r="E340" s="66">
        <f t="shared" ref="E340:R340" si="34">SUM(E332:E339)</f>
        <v>131.5</v>
      </c>
      <c r="F340" s="66">
        <f t="shared" si="34"/>
        <v>39.38055555555556</v>
      </c>
      <c r="G340" s="66">
        <f t="shared" si="34"/>
        <v>48.057777777777773</v>
      </c>
      <c r="H340" s="66">
        <f t="shared" si="34"/>
        <v>123.05166666666665</v>
      </c>
      <c r="I340" s="66">
        <f t="shared" si="34"/>
        <v>1083.1266666666668</v>
      </c>
      <c r="J340" s="66">
        <f t="shared" si="34"/>
        <v>0</v>
      </c>
      <c r="K340" s="66">
        <f t="shared" si="34"/>
        <v>309.63666666666666</v>
      </c>
      <c r="L340" s="66">
        <f t="shared" si="34"/>
        <v>134.36388888888888</v>
      </c>
      <c r="M340" s="66">
        <f t="shared" si="34"/>
        <v>377.6</v>
      </c>
      <c r="N340" s="66">
        <f t="shared" si="34"/>
        <v>10.916666666666666</v>
      </c>
      <c r="O340" s="66">
        <f t="shared" si="34"/>
        <v>81.888888888888886</v>
      </c>
      <c r="P340" s="66">
        <f t="shared" si="34"/>
        <v>0.23499999999999999</v>
      </c>
      <c r="Q340" s="66">
        <f t="shared" si="34"/>
        <v>0.1</v>
      </c>
      <c r="R340" s="66">
        <f t="shared" si="34"/>
        <v>45.050000000000004</v>
      </c>
    </row>
    <row r="341" spans="1:18" ht="18" customHeight="1">
      <c r="A341" s="81" t="s">
        <v>17</v>
      </c>
      <c r="B341" s="81"/>
      <c r="C341" s="81"/>
      <c r="D341" s="81"/>
      <c r="E341" s="13">
        <f>E328+E340</f>
        <v>209.87</v>
      </c>
      <c r="F341" s="13">
        <f t="shared" ref="F341:R341" si="35">F328+F340</f>
        <v>61.800555555555562</v>
      </c>
      <c r="G341" s="13">
        <f t="shared" si="35"/>
        <v>76.937777777777768</v>
      </c>
      <c r="H341" s="13">
        <f t="shared" si="35"/>
        <v>231.41166666666663</v>
      </c>
      <c r="I341" s="13">
        <f t="shared" si="35"/>
        <v>1805.7466666666667</v>
      </c>
      <c r="J341" s="13">
        <f t="shared" si="35"/>
        <v>0</v>
      </c>
      <c r="K341" s="13">
        <f t="shared" si="35"/>
        <v>734.83666666666659</v>
      </c>
      <c r="L341" s="13">
        <f t="shared" si="35"/>
        <v>373.76388888888886</v>
      </c>
      <c r="M341" s="13">
        <f t="shared" si="35"/>
        <v>938.30000000000007</v>
      </c>
      <c r="N341" s="13">
        <f t="shared" si="35"/>
        <v>50.456666666666663</v>
      </c>
      <c r="O341" s="13">
        <f t="shared" si="35"/>
        <v>130.88888888888889</v>
      </c>
      <c r="P341" s="13">
        <f t="shared" si="35"/>
        <v>1.4750000000000001</v>
      </c>
      <c r="Q341" s="13">
        <f t="shared" si="35"/>
        <v>3.79</v>
      </c>
      <c r="R341" s="13">
        <f t="shared" si="35"/>
        <v>53.550000000000004</v>
      </c>
    </row>
    <row r="342" spans="1:18" ht="18" customHeight="1">
      <c r="A342" s="16"/>
      <c r="B342" s="16"/>
      <c r="C342" s="16"/>
      <c r="D342" s="16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 ht="18" customHeight="1">
      <c r="A343" s="16"/>
      <c r="B343" s="16"/>
      <c r="C343" s="16"/>
      <c r="D343" s="16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ht="18" customHeight="1">
      <c r="A344" s="16"/>
      <c r="B344" s="16"/>
      <c r="C344" s="16"/>
      <c r="D344" s="16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 ht="18" customHeight="1">
      <c r="A345" s="16"/>
      <c r="B345" s="16"/>
      <c r="C345" s="16"/>
      <c r="D345" s="16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 ht="18" customHeight="1">
      <c r="A346" s="16"/>
      <c r="B346" s="16"/>
      <c r="C346" s="16"/>
      <c r="D346" s="16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 ht="18" customHeight="1">
      <c r="A347" s="16"/>
      <c r="B347" s="16"/>
      <c r="C347" s="16"/>
      <c r="D347" s="16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 ht="18" customHeight="1">
      <c r="A348" s="16"/>
      <c r="B348" s="16"/>
      <c r="C348" s="16"/>
      <c r="D348" s="16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 ht="18" customHeight="1">
      <c r="A349" s="16"/>
      <c r="B349" s="16"/>
      <c r="C349" s="16"/>
      <c r="D349" s="16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 ht="18" customHeight="1">
      <c r="A350" s="16"/>
      <c r="B350" s="16"/>
      <c r="C350" s="20"/>
      <c r="D350" s="54"/>
      <c r="E350" s="54"/>
      <c r="F350" s="29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ht="18" customHeight="1">
      <c r="A351" s="16"/>
      <c r="B351" s="16"/>
      <c r="C351" s="20" t="s">
        <v>106</v>
      </c>
      <c r="D351" s="54"/>
      <c r="E351" s="54"/>
      <c r="F351" s="55" t="s">
        <v>108</v>
      </c>
      <c r="G351" s="7" t="s">
        <v>109</v>
      </c>
      <c r="H351" s="7" t="s">
        <v>110</v>
      </c>
      <c r="I351" s="7" t="s">
        <v>111</v>
      </c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ht="18" customHeight="1">
      <c r="A352" s="16"/>
      <c r="B352" s="16"/>
      <c r="C352" t="s">
        <v>107</v>
      </c>
      <c r="F352" s="7">
        <f>(F32+F57+F86+F112+F141+F168+F196+F223+F253+F284+F312+F341)/12</f>
        <v>68.121322751322751</v>
      </c>
      <c r="G352" s="7">
        <f>(G32+G57+G86+G112+G141+G168+G196+G223+G253+G284+G312+G341)/12</f>
        <v>62.037498677248671</v>
      </c>
      <c r="H352" s="7">
        <f>(H32+H57+H86+H112+H141+H168+H196+H223+H253+H284+H312+H341)/12</f>
        <v>242.30320767195772</v>
      </c>
      <c r="I352" s="7">
        <f>(I32+I57+I86+I112+I141+I168+I196+I223+I253+I284+I312+I341)/12</f>
        <v>1757.8991759259261</v>
      </c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 ht="18" customHeight="1">
      <c r="A353" s="16"/>
      <c r="B353" s="16"/>
      <c r="C353" s="16"/>
      <c r="D353" s="16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ht="18" customHeight="1">
      <c r="A354" s="16"/>
      <c r="B354" s="16"/>
      <c r="J354" s="20"/>
      <c r="K354" s="19"/>
      <c r="L354" s="19"/>
      <c r="M354" s="19"/>
      <c r="N354" s="19"/>
      <c r="O354" s="19"/>
      <c r="P354" s="19"/>
      <c r="Q354" s="19"/>
      <c r="R354" s="19"/>
    </row>
    <row r="355" spans="1:18" ht="18" customHeight="1">
      <c r="A355" s="16"/>
      <c r="B355" s="16"/>
      <c r="J355" s="20"/>
      <c r="K355" s="19"/>
      <c r="L355" s="19"/>
      <c r="M355" s="19"/>
      <c r="N355" s="19"/>
      <c r="O355" s="19"/>
      <c r="P355" s="19"/>
      <c r="Q355" s="19"/>
      <c r="R355" s="19"/>
    </row>
    <row r="356" spans="1:18" ht="18" customHeight="1">
      <c r="A356" s="16"/>
      <c r="B356" s="16"/>
      <c r="J356" s="20"/>
      <c r="K356" s="19"/>
      <c r="L356" s="19"/>
      <c r="M356" s="19"/>
      <c r="N356" s="19"/>
      <c r="O356" s="19"/>
      <c r="P356" s="19"/>
      <c r="Q356" s="19"/>
      <c r="R356" s="19"/>
    </row>
    <row r="357" spans="1:18">
      <c r="A357" s="16"/>
      <c r="B357" s="16"/>
      <c r="J357" s="20"/>
      <c r="K357" s="19"/>
      <c r="L357" s="19"/>
      <c r="M357" s="19"/>
      <c r="N357" s="19"/>
      <c r="O357" s="19"/>
      <c r="P357" s="19"/>
      <c r="Q357" s="19"/>
      <c r="R357" s="19"/>
    </row>
    <row r="364" spans="1:18">
      <c r="D364" s="29"/>
      <c r="E364" s="29"/>
    </row>
  </sheetData>
  <mergeCells count="326">
    <mergeCell ref="A271:C271"/>
    <mergeCell ref="A272:R272"/>
    <mergeCell ref="A299:C299"/>
    <mergeCell ref="A291:R291"/>
    <mergeCell ref="A292:R292"/>
    <mergeCell ref="A293:A294"/>
    <mergeCell ref="B293:B294"/>
    <mergeCell ref="C293:C294"/>
    <mergeCell ref="D293:D294"/>
    <mergeCell ref="E293:E294"/>
    <mergeCell ref="F293:F294"/>
    <mergeCell ref="G293:G294"/>
    <mergeCell ref="H293:H294"/>
    <mergeCell ref="I293:I294"/>
    <mergeCell ref="O293:R293"/>
    <mergeCell ref="O233:R233"/>
    <mergeCell ref="A240:C240"/>
    <mergeCell ref="A320:R320"/>
    <mergeCell ref="A321:R321"/>
    <mergeCell ref="A322:A323"/>
    <mergeCell ref="B322:B323"/>
    <mergeCell ref="C322:C323"/>
    <mergeCell ref="D322:D323"/>
    <mergeCell ref="E322:E323"/>
    <mergeCell ref="F322:F323"/>
    <mergeCell ref="G322:G323"/>
    <mergeCell ref="H322:H323"/>
    <mergeCell ref="I322:I323"/>
    <mergeCell ref="O322:R322"/>
    <mergeCell ref="A262:R262"/>
    <mergeCell ref="I264:I265"/>
    <mergeCell ref="O264:R264"/>
    <mergeCell ref="O242:R242"/>
    <mergeCell ref="C264:C265"/>
    <mergeCell ref="D264:D265"/>
    <mergeCell ref="E264:E265"/>
    <mergeCell ref="A242:A243"/>
    <mergeCell ref="F264:F265"/>
    <mergeCell ref="A284:D284"/>
    <mergeCell ref="D130:D131"/>
    <mergeCell ref="B151:B152"/>
    <mergeCell ref="A233:A234"/>
    <mergeCell ref="B233:B234"/>
    <mergeCell ref="C233:C234"/>
    <mergeCell ref="D233:D234"/>
    <mergeCell ref="E233:E234"/>
    <mergeCell ref="F233:F234"/>
    <mergeCell ref="G233:G234"/>
    <mergeCell ref="A176:R176"/>
    <mergeCell ref="A177:A178"/>
    <mergeCell ref="A168:D168"/>
    <mergeCell ref="A158:A159"/>
    <mergeCell ref="B158:B159"/>
    <mergeCell ref="C158:C159"/>
    <mergeCell ref="D158:D159"/>
    <mergeCell ref="E158:E159"/>
    <mergeCell ref="F158:F159"/>
    <mergeCell ref="G158:G159"/>
    <mergeCell ref="O158:R158"/>
    <mergeCell ref="A222:C222"/>
    <mergeCell ref="I151:I152"/>
    <mergeCell ref="H158:H159"/>
    <mergeCell ref="I158:I159"/>
    <mergeCell ref="I68:I69"/>
    <mergeCell ref="O68:R68"/>
    <mergeCell ref="A74:C74"/>
    <mergeCell ref="A203:R203"/>
    <mergeCell ref="A204:R204"/>
    <mergeCell ref="A205:A206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O205:R205"/>
    <mergeCell ref="A92:R92"/>
    <mergeCell ref="A119:R119"/>
    <mergeCell ref="A149:R149"/>
    <mergeCell ref="A175:R175"/>
    <mergeCell ref="O151:R151"/>
    <mergeCell ref="A150:R150"/>
    <mergeCell ref="A141:D141"/>
    <mergeCell ref="A140:C140"/>
    <mergeCell ref="A129:R129"/>
    <mergeCell ref="O301:R301"/>
    <mergeCell ref="E151:E152"/>
    <mergeCell ref="F151:F152"/>
    <mergeCell ref="G151:G152"/>
    <mergeCell ref="H151:H152"/>
    <mergeCell ref="C151:C152"/>
    <mergeCell ref="D151:D152"/>
    <mergeCell ref="A151:A152"/>
    <mergeCell ref="H130:H131"/>
    <mergeCell ref="F185:F186"/>
    <mergeCell ref="H264:H265"/>
    <mergeCell ref="G242:G243"/>
    <mergeCell ref="A241:R241"/>
    <mergeCell ref="C185:C186"/>
    <mergeCell ref="D185:D186"/>
    <mergeCell ref="E185:E186"/>
    <mergeCell ref="A223:D223"/>
    <mergeCell ref="B242:B243"/>
    <mergeCell ref="C242:C243"/>
    <mergeCell ref="D242:D243"/>
    <mergeCell ref="E242:E243"/>
    <mergeCell ref="F242:F243"/>
    <mergeCell ref="A264:A265"/>
    <mergeCell ref="B264:B265"/>
    <mergeCell ref="F330:F331"/>
    <mergeCell ref="G330:G331"/>
    <mergeCell ref="H330:H331"/>
    <mergeCell ref="I330:I331"/>
    <mergeCell ref="C301:C302"/>
    <mergeCell ref="D301:D302"/>
    <mergeCell ref="E301:E302"/>
    <mergeCell ref="F301:F302"/>
    <mergeCell ref="G301:G302"/>
    <mergeCell ref="H301:H302"/>
    <mergeCell ref="I301:I302"/>
    <mergeCell ref="A312:D312"/>
    <mergeCell ref="A328:C328"/>
    <mergeCell ref="A341:D341"/>
    <mergeCell ref="A329:R329"/>
    <mergeCell ref="C273:C274"/>
    <mergeCell ref="D273:D274"/>
    <mergeCell ref="E273:E274"/>
    <mergeCell ref="F273:F274"/>
    <mergeCell ref="G273:G274"/>
    <mergeCell ref="H273:H274"/>
    <mergeCell ref="I273:I274"/>
    <mergeCell ref="O273:R273"/>
    <mergeCell ref="A283:C283"/>
    <mergeCell ref="A273:A274"/>
    <mergeCell ref="B273:B274"/>
    <mergeCell ref="A311:C311"/>
    <mergeCell ref="A340:C340"/>
    <mergeCell ref="A300:R300"/>
    <mergeCell ref="A301:A302"/>
    <mergeCell ref="B301:B302"/>
    <mergeCell ref="O330:R330"/>
    <mergeCell ref="A330:A331"/>
    <mergeCell ref="B330:B331"/>
    <mergeCell ref="C330:C331"/>
    <mergeCell ref="D330:D331"/>
    <mergeCell ref="E330:E331"/>
    <mergeCell ref="A76:A77"/>
    <mergeCell ref="B76:B77"/>
    <mergeCell ref="C76:C77"/>
    <mergeCell ref="D76:D77"/>
    <mergeCell ref="E76:E77"/>
    <mergeCell ref="F76:F77"/>
    <mergeCell ref="O76:R76"/>
    <mergeCell ref="G76:G77"/>
    <mergeCell ref="D121:D122"/>
    <mergeCell ref="E121:E122"/>
    <mergeCell ref="F121:F122"/>
    <mergeCell ref="O121:R121"/>
    <mergeCell ref="A120:R120"/>
    <mergeCell ref="A121:A122"/>
    <mergeCell ref="B121:B122"/>
    <mergeCell ref="C121:C122"/>
    <mergeCell ref="H121:H122"/>
    <mergeCell ref="A86:D86"/>
    <mergeCell ref="C102:C103"/>
    <mergeCell ref="A111:C111"/>
    <mergeCell ref="D102:D103"/>
    <mergeCell ref="B102:B103"/>
    <mergeCell ref="G102:G103"/>
    <mergeCell ref="H102:H103"/>
    <mergeCell ref="A1:C1"/>
    <mergeCell ref="A2:C2"/>
    <mergeCell ref="A4:C4"/>
    <mergeCell ref="A5:C5"/>
    <mergeCell ref="D5:F5"/>
    <mergeCell ref="D2:I2"/>
    <mergeCell ref="D1:R1"/>
    <mergeCell ref="K2:R2"/>
    <mergeCell ref="A31:C31"/>
    <mergeCell ref="A19:C19"/>
    <mergeCell ref="F11:F12"/>
    <mergeCell ref="G11:G12"/>
    <mergeCell ref="H11:H12"/>
    <mergeCell ref="I11:I12"/>
    <mergeCell ref="D4:R4"/>
    <mergeCell ref="G5:R5"/>
    <mergeCell ref="A6:R6"/>
    <mergeCell ref="A9:R9"/>
    <mergeCell ref="A7:R7"/>
    <mergeCell ref="O21:R21"/>
    <mergeCell ref="A10:R10"/>
    <mergeCell ref="O11:R11"/>
    <mergeCell ref="A11:A12"/>
    <mergeCell ref="B11:B12"/>
    <mergeCell ref="I102:I103"/>
    <mergeCell ref="E102:E103"/>
    <mergeCell ref="F102:F103"/>
    <mergeCell ref="A101:R101"/>
    <mergeCell ref="I94:I95"/>
    <mergeCell ref="H94:H95"/>
    <mergeCell ref="A102:A103"/>
    <mergeCell ref="A94:A95"/>
    <mergeCell ref="B94:B95"/>
    <mergeCell ref="C94:C95"/>
    <mergeCell ref="A93:R93"/>
    <mergeCell ref="A100:C100"/>
    <mergeCell ref="G121:G122"/>
    <mergeCell ref="A185:A186"/>
    <mergeCell ref="O213:R213"/>
    <mergeCell ref="D213:D214"/>
    <mergeCell ref="E213:E214"/>
    <mergeCell ref="F213:F214"/>
    <mergeCell ref="A196:D196"/>
    <mergeCell ref="A213:A214"/>
    <mergeCell ref="O130:R130"/>
    <mergeCell ref="A195:C195"/>
    <mergeCell ref="B185:B186"/>
    <mergeCell ref="A156:C156"/>
    <mergeCell ref="A167:C167"/>
    <mergeCell ref="A157:R157"/>
    <mergeCell ref="O177:R177"/>
    <mergeCell ref="A212:R212"/>
    <mergeCell ref="A183:C183"/>
    <mergeCell ref="B177:B178"/>
    <mergeCell ref="C177:C178"/>
    <mergeCell ref="D177:D178"/>
    <mergeCell ref="E177:E178"/>
    <mergeCell ref="F177:F178"/>
    <mergeCell ref="I130:I131"/>
    <mergeCell ref="I121:I122"/>
    <mergeCell ref="A8:R8"/>
    <mergeCell ref="E130:E131"/>
    <mergeCell ref="F130:F131"/>
    <mergeCell ref="G130:G131"/>
    <mergeCell ref="O102:R102"/>
    <mergeCell ref="O94:R94"/>
    <mergeCell ref="E94:E95"/>
    <mergeCell ref="H76:H77"/>
    <mergeCell ref="I76:I77"/>
    <mergeCell ref="F94:F95"/>
    <mergeCell ref="G94:G95"/>
    <mergeCell ref="A128:C128"/>
    <mergeCell ref="D94:D95"/>
    <mergeCell ref="A112:D112"/>
    <mergeCell ref="A130:A131"/>
    <mergeCell ref="B130:B131"/>
    <mergeCell ref="C130:C131"/>
    <mergeCell ref="A38:A39"/>
    <mergeCell ref="B38:B39"/>
    <mergeCell ref="A56:C56"/>
    <mergeCell ref="H38:H39"/>
    <mergeCell ref="O38:R38"/>
    <mergeCell ref="A253:D253"/>
    <mergeCell ref="A252:C252"/>
    <mergeCell ref="H242:H243"/>
    <mergeCell ref="I242:I243"/>
    <mergeCell ref="G177:G178"/>
    <mergeCell ref="H177:H178"/>
    <mergeCell ref="I177:I178"/>
    <mergeCell ref="A263:R263"/>
    <mergeCell ref="G264:G265"/>
    <mergeCell ref="A231:R231"/>
    <mergeCell ref="A232:R232"/>
    <mergeCell ref="G185:G186"/>
    <mergeCell ref="H185:H186"/>
    <mergeCell ref="C213:C214"/>
    <mergeCell ref="A184:R184"/>
    <mergeCell ref="I213:I214"/>
    <mergeCell ref="B213:B214"/>
    <mergeCell ref="G213:G214"/>
    <mergeCell ref="H213:H214"/>
    <mergeCell ref="I185:I186"/>
    <mergeCell ref="O185:R185"/>
    <mergeCell ref="A211:C211"/>
    <mergeCell ref="H233:H234"/>
    <mergeCell ref="I233:I234"/>
    <mergeCell ref="A75:R75"/>
    <mergeCell ref="E11:E12"/>
    <mergeCell ref="D21:D22"/>
    <mergeCell ref="E21:E22"/>
    <mergeCell ref="F21:F22"/>
    <mergeCell ref="G21:G22"/>
    <mergeCell ref="A20:R20"/>
    <mergeCell ref="B21:B22"/>
    <mergeCell ref="C21:C22"/>
    <mergeCell ref="A21:A22"/>
    <mergeCell ref="H21:H22"/>
    <mergeCell ref="I21:I22"/>
    <mergeCell ref="C11:C12"/>
    <mergeCell ref="D11:D12"/>
    <mergeCell ref="A66:R66"/>
    <mergeCell ref="A67:R67"/>
    <mergeCell ref="A68:A69"/>
    <mergeCell ref="B68:B69"/>
    <mergeCell ref="C68:C69"/>
    <mergeCell ref="D68:D69"/>
    <mergeCell ref="E68:E69"/>
    <mergeCell ref="F68:F69"/>
    <mergeCell ref="G68:G69"/>
    <mergeCell ref="H68:H69"/>
    <mergeCell ref="A36:R36"/>
    <mergeCell ref="A37:R37"/>
    <mergeCell ref="A57:D57"/>
    <mergeCell ref="A85:C85"/>
    <mergeCell ref="A32:D32"/>
    <mergeCell ref="A44:C44"/>
    <mergeCell ref="I38:I39"/>
    <mergeCell ref="A45:R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O46:R46"/>
    <mergeCell ref="C38:C39"/>
    <mergeCell ref="D38:D39"/>
    <mergeCell ref="E38:E39"/>
    <mergeCell ref="F38:F39"/>
    <mergeCell ref="G38:G39"/>
    <mergeCell ref="A35:R35"/>
  </mergeCells>
  <pageMargins left="0.25" right="0.25" top="0.75" bottom="0.75" header="0.3" footer="0.3"/>
  <pageSetup paperSize="9" scale="70" orientation="landscape" verticalDpi="4294967293" r:id="rId1"/>
  <rowBreaks count="11" manualBreakCount="11">
    <brk id="34" max="17" man="1"/>
    <brk id="63" max="16383" man="1"/>
    <brk id="89" max="16383" man="1"/>
    <brk id="116" max="16383" man="1"/>
    <brk id="146" max="16383" man="1"/>
    <brk id="172" max="16383" man="1"/>
    <brk id="200" max="16383" man="1"/>
    <brk id="228" max="16383" man="1"/>
    <brk id="259" max="16383" man="1"/>
    <brk id="288" max="16383" man="1"/>
    <brk id="31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атто123</cp:lastModifiedBy>
  <cp:lastPrinted>2023-03-22T08:25:39Z</cp:lastPrinted>
  <dcterms:created xsi:type="dcterms:W3CDTF">2020-08-17T17:24:41Z</dcterms:created>
  <dcterms:modified xsi:type="dcterms:W3CDTF">2023-04-05T07:08:04Z</dcterms:modified>
</cp:coreProperties>
</file>